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ffc717f2865cf44d/Documents/Rates/"/>
    </mc:Choice>
  </mc:AlternateContent>
  <xr:revisionPtr revIDLastSave="1" documentId="8_{1469E99E-A579-4092-95E5-7A3234CDDE3D}" xr6:coauthVersionLast="47" xr6:coauthVersionMax="47" xr10:uidLastSave="{26DA992F-B298-46DF-BCD3-C40F2C84CBD4}"/>
  <bookViews>
    <workbookView xWindow="-28920" yWindow="-120" windowWidth="29040" windowHeight="15840" xr2:uid="{00000000-000D-0000-FFFF-FFFF00000000}"/>
  </bookViews>
  <sheets>
    <sheet name="Waterfall" sheetId="1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D42" i="1" s="1"/>
  <c r="E40" i="1" s="1"/>
  <c r="B7" i="1"/>
  <c r="F34" i="1"/>
  <c r="G34" i="1"/>
  <c r="H34" i="1"/>
  <c r="I34" i="1" s="1"/>
  <c r="D50" i="1"/>
  <c r="E33" i="1"/>
  <c r="F33" i="1" s="1"/>
  <c r="G33" i="1" s="1"/>
  <c r="H33" i="1" s="1"/>
  <c r="I33" i="1" s="1"/>
  <c r="F16" i="1"/>
  <c r="G16" i="1" s="1"/>
  <c r="H16" i="1" s="1"/>
  <c r="E15" i="1"/>
  <c r="F15" i="1" s="1"/>
  <c r="G15" i="1" s="1"/>
  <c r="H15" i="1" s="1"/>
  <c r="I15" i="1" s="1"/>
  <c r="D28" i="1" l="1"/>
  <c r="I16" i="1"/>
  <c r="D51" i="1" l="1"/>
  <c r="D49" i="1"/>
  <c r="D27" i="1"/>
  <c r="D38" i="1"/>
  <c r="E36" i="1"/>
  <c r="D20" i="1"/>
  <c r="E18" i="1"/>
  <c r="E19" i="1"/>
  <c r="E20" i="1" l="1"/>
  <c r="F18" i="1" s="1"/>
  <c r="E22" i="1"/>
  <c r="F19" i="1"/>
  <c r="E24" i="1"/>
  <c r="E28" i="1" s="1"/>
  <c r="E23" i="1"/>
  <c r="E27" i="1" s="1"/>
  <c r="E37" i="1"/>
  <c r="D29" i="1"/>
  <c r="E29" i="1" l="1"/>
  <c r="E41" i="1"/>
  <c r="E44" i="1" s="1"/>
  <c r="E38" i="1"/>
  <c r="F36" i="1" s="1"/>
  <c r="F22" i="1"/>
  <c r="F20" i="1"/>
  <c r="G18" i="1" s="1"/>
  <c r="E42" i="1" l="1"/>
  <c r="F40" i="1" s="1"/>
  <c r="G19" i="1"/>
  <c r="F23" i="1"/>
  <c r="F27" i="1" s="1"/>
  <c r="F24" i="1"/>
  <c r="F28" i="1" s="1"/>
  <c r="F37" i="1"/>
  <c r="F38" i="1" s="1"/>
  <c r="G36" i="1" s="1"/>
  <c r="G22" i="1" l="1"/>
  <c r="G20" i="1"/>
  <c r="H18" i="1" s="1"/>
  <c r="F29" i="1"/>
  <c r="G37" i="1"/>
  <c r="F41" i="1"/>
  <c r="F42" i="1" s="1"/>
  <c r="G40" i="1" s="1"/>
  <c r="E45" i="1"/>
  <c r="E49" i="1" s="1"/>
  <c r="E46" i="1"/>
  <c r="E50" i="1" s="1"/>
  <c r="E51" i="1" l="1"/>
  <c r="H19" i="1"/>
  <c r="H20" i="1" s="1"/>
  <c r="I18" i="1" s="1"/>
  <c r="F44" i="1"/>
  <c r="G41" i="1"/>
  <c r="G44" i="1" s="1"/>
  <c r="G24" i="1"/>
  <c r="G28" i="1" s="1"/>
  <c r="G23" i="1"/>
  <c r="G27" i="1" s="1"/>
  <c r="G38" i="1"/>
  <c r="H36" i="1" s="1"/>
  <c r="G42" i="1" l="1"/>
  <c r="H40" i="1" s="1"/>
  <c r="I19" i="1"/>
  <c r="I20" i="1"/>
  <c r="H22" i="1"/>
  <c r="H37" i="1"/>
  <c r="H38" i="1" s="1"/>
  <c r="I36" i="1" s="1"/>
  <c r="F45" i="1"/>
  <c r="F49" i="1" s="1"/>
  <c r="F46" i="1"/>
  <c r="F50" i="1" s="1"/>
  <c r="G29" i="1"/>
  <c r="G46" i="1"/>
  <c r="G45" i="1"/>
  <c r="G50" i="1"/>
  <c r="G49" i="1" l="1"/>
  <c r="G51" i="1" s="1"/>
  <c r="H24" i="1"/>
  <c r="H28" i="1" s="1"/>
  <c r="H23" i="1"/>
  <c r="I37" i="1"/>
  <c r="I38" i="1"/>
  <c r="F51" i="1"/>
  <c r="H41" i="1"/>
  <c r="I22" i="1"/>
  <c r="H27" i="1" l="1"/>
  <c r="H29" i="1" s="1"/>
  <c r="H42" i="1"/>
  <c r="I40" i="1" s="1"/>
  <c r="I41" i="1" s="1"/>
  <c r="I24" i="1"/>
  <c r="I23" i="1"/>
  <c r="I27" i="1" s="1"/>
  <c r="H44" i="1"/>
  <c r="C28" i="1" l="1"/>
  <c r="I28" i="1"/>
  <c r="I29" i="1" s="1"/>
  <c r="C29" i="1" s="1"/>
  <c r="I44" i="1"/>
  <c r="C27" i="1"/>
  <c r="I42" i="1"/>
  <c r="H46" i="1"/>
  <c r="H50" i="1" s="1"/>
  <c r="H45" i="1"/>
  <c r="H49" i="1" s="1"/>
  <c r="H51" i="1" l="1"/>
  <c r="I45" i="1"/>
  <c r="I49" i="1" s="1"/>
  <c r="I46" i="1"/>
  <c r="I50" i="1" s="1"/>
  <c r="C50" i="1" s="1"/>
  <c r="I51" i="1" l="1"/>
  <c r="C49" i="1"/>
  <c r="C51" i="1"/>
</calcChain>
</file>

<file path=xl/sharedStrings.xml><?xml version="1.0" encoding="utf-8"?>
<sst xmlns="http://schemas.openxmlformats.org/spreadsheetml/2006/main" count="39" uniqueCount="24">
  <si>
    <t>LP Contribution</t>
  </si>
  <si>
    <t>GP Contribution</t>
  </si>
  <si>
    <t>Pref</t>
  </si>
  <si>
    <t xml:space="preserve">LP Distribution </t>
  </si>
  <si>
    <t xml:space="preserve">GP Distribution </t>
  </si>
  <si>
    <t>Structure 1: Return of Capital + Preferred to LP &amp; GP, Distribution of Excess Proceeds</t>
  </si>
  <si>
    <t>Period</t>
  </si>
  <si>
    <t>Levered Cash Flows</t>
  </si>
  <si>
    <t>LP BOP</t>
  </si>
  <si>
    <t>Cash Flows</t>
  </si>
  <si>
    <t>LP EOP</t>
  </si>
  <si>
    <t>Distibution</t>
  </si>
  <si>
    <t>Distibution to LP</t>
  </si>
  <si>
    <t>Distibution to GP</t>
  </si>
  <si>
    <t>IRR</t>
  </si>
  <si>
    <t>LP</t>
  </si>
  <si>
    <t>GP</t>
  </si>
  <si>
    <t>Deal</t>
  </si>
  <si>
    <t>Structure 2: Return of Capital + Preferred to LP, Catch Up for GP, Distribution of Excess Proceeds</t>
  </si>
  <si>
    <t>GP BOP</t>
  </si>
  <si>
    <t>GP EOP</t>
  </si>
  <si>
    <t>LFCF = Net Profit + D&amp;A – ΔNWC – CAPEX – Debt</t>
  </si>
  <si>
    <t>Levered Cash Flow Formula</t>
  </si>
  <si>
    <t>Funds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</si>
</sst>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</numFmts>
  <fonts count="8">
    <font>
      <sz val="10.5"/>
      <color theme="1"/>
      <name val="Frutiger 45 Light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.5"/>
      <color theme="1"/>
      <name val="Frutiger 45 Light"/>
      <family val="2"/>
    </font>
    <font>
      <sz val="12"/>
      <color theme="1"/>
      <name val="Calibri"/>
      <family val="2"/>
      <scheme val="minor"/>
    </font>
    <font>
      <sz val="10"/>
      <color rgb="FF0000FF"/>
      <name val="Times New Roman"/>
      <family val="1"/>
    </font>
    <font>
      <b/>
      <sz val="8"/>
      <color rgb="FF202124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">
    <xf numFmtId="0" fontId="0" fillId="0" borderId="0" xfId="0"/>
    <xf numFmtId="5" fontId="6" fillId="0" borderId="0" xfId="1" applyNumberFormat="1" applyFont="1"/>
    <xf numFmtId="0" fontId="1" fillId="0" borderId="0" xfId="0" applyFont="1"/>
    <xf numFmtId="164" fontId="1" fillId="0" borderId="0" xfId="3" applyNumberFormat="1" applyFont="1"/>
    <xf numFmtId="164" fontId="6" fillId="0" borderId="0" xfId="0" applyNumberFormat="1" applyFont="1"/>
    <xf numFmtId="164" fontId="2" fillId="0" borderId="0" xfId="0" applyNumberFormat="1" applyFont="1"/>
    <xf numFmtId="0" fontId="1" fillId="0" borderId="1" xfId="0" applyFont="1" applyBorder="1"/>
    <xf numFmtId="165" fontId="3" fillId="0" borderId="1" xfId="0" applyNumberFormat="1" applyFont="1" applyBorder="1"/>
    <xf numFmtId="5" fontId="1" fillId="0" borderId="0" xfId="1" applyNumberFormat="1" applyFont="1"/>
    <xf numFmtId="5" fontId="1" fillId="0" borderId="0" xfId="0" applyNumberFormat="1" applyFont="1"/>
    <xf numFmtId="0" fontId="1" fillId="0" borderId="0" xfId="0" applyFont="1" applyBorder="1"/>
    <xf numFmtId="5" fontId="1" fillId="0" borderId="2" xfId="0" applyNumberFormat="1" applyFont="1" applyBorder="1"/>
    <xf numFmtId="0" fontId="1" fillId="0" borderId="0" xfId="0" applyFont="1" applyFill="1" applyBorder="1"/>
    <xf numFmtId="10" fontId="1" fillId="0" borderId="0" xfId="0" applyNumberFormat="1" applyFont="1"/>
    <xf numFmtId="0" fontId="7" fillId="0" borderId="0" xfId="0" applyFont="1"/>
    <xf numFmtId="44" fontId="1" fillId="0" borderId="0" xfId="4" applyFont="1"/>
    <xf numFmtId="9" fontId="1" fillId="0" borderId="0" xfId="3" applyFont="1"/>
  </cellXfs>
  <cellStyles count="5">
    <cellStyle name="Comma" xfId="1" builtinId="3"/>
    <cellStyle name="Currency" xfId="4" builtinId="4"/>
    <cellStyle name="Normal" xfId="0" builtinId="0"/>
    <cellStyle name="Normal 2" xfId="2" xr:uid="{00000000-0005-0000-0000-000003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51"/>
  <sheetViews>
    <sheetView tabSelected="1" workbookViewId="0">
      <selection activeCell="E61" sqref="E61"/>
    </sheetView>
  </sheetViews>
  <sheetFormatPr defaultColWidth="8.6640625" defaultRowHeight="13"/>
  <cols>
    <col min="1" max="1" width="2.5" style="2" customWidth="1"/>
    <col min="2" max="2" width="14.5" style="2" customWidth="1"/>
    <col min="3" max="9" width="12" style="2" customWidth="1"/>
    <col min="10" max="16384" width="8.6640625" style="2"/>
  </cols>
  <sheetData>
    <row r="3" spans="2:11">
      <c r="B3" s="15">
        <v>100000000</v>
      </c>
      <c r="C3" s="2" t="s">
        <v>23</v>
      </c>
    </row>
    <row r="4" spans="2:11">
      <c r="B4" s="16">
        <v>0.9</v>
      </c>
      <c r="C4" s="2" t="s">
        <v>0</v>
      </c>
    </row>
    <row r="5" spans="2:11">
      <c r="B5" s="16">
        <v>0.1</v>
      </c>
      <c r="C5" s="2" t="s">
        <v>1</v>
      </c>
    </row>
    <row r="7" spans="2:11">
      <c r="B7" s="1">
        <f>$B$3*B4</f>
        <v>90000000</v>
      </c>
      <c r="C7" s="2" t="s">
        <v>0</v>
      </c>
      <c r="D7" s="3"/>
      <c r="K7" s="2" t="s">
        <v>22</v>
      </c>
    </row>
    <row r="8" spans="2:11">
      <c r="B8" s="1">
        <f>$B$3*B5</f>
        <v>10000000</v>
      </c>
      <c r="C8" s="2" t="s">
        <v>1</v>
      </c>
      <c r="D8" s="3"/>
      <c r="K8" s="14" t="s">
        <v>21</v>
      </c>
    </row>
    <row r="9" spans="2:11">
      <c r="B9" s="4">
        <v>0.09</v>
      </c>
      <c r="C9" s="2" t="s">
        <v>2</v>
      </c>
    </row>
    <row r="10" spans="2:11">
      <c r="B10" s="4">
        <v>0.72</v>
      </c>
      <c r="C10" s="2" t="s">
        <v>3</v>
      </c>
    </row>
    <row r="11" spans="2:11">
      <c r="B11" s="4">
        <v>0.28000000000000003</v>
      </c>
      <c r="C11" s="2" t="s">
        <v>4</v>
      </c>
    </row>
    <row r="12" spans="2:11">
      <c r="B12" s="4"/>
    </row>
    <row r="13" spans="2:11">
      <c r="B13" s="5" t="s">
        <v>5</v>
      </c>
    </row>
    <row r="14" spans="2:11">
      <c r="B14" s="4"/>
    </row>
    <row r="15" spans="2:11">
      <c r="B15" s="6" t="s">
        <v>6</v>
      </c>
      <c r="C15" s="6"/>
      <c r="D15" s="7">
        <v>0</v>
      </c>
      <c r="E15" s="7">
        <f>D15+1</f>
        <v>1</v>
      </c>
      <c r="F15" s="7">
        <f>E15+1</f>
        <v>2</v>
      </c>
      <c r="G15" s="7">
        <f>F15+1</f>
        <v>3</v>
      </c>
      <c r="H15" s="7">
        <f>G15+1</f>
        <v>4</v>
      </c>
      <c r="I15" s="7">
        <f>H15+1</f>
        <v>5</v>
      </c>
    </row>
    <row r="16" spans="2:11">
      <c r="B16" s="2" t="s">
        <v>7</v>
      </c>
      <c r="D16" s="8"/>
      <c r="E16" s="1">
        <v>4000000</v>
      </c>
      <c r="F16" s="1">
        <f>E16+500000</f>
        <v>4500000</v>
      </c>
      <c r="G16" s="1">
        <f>F16+500000</f>
        <v>5000000</v>
      </c>
      <c r="H16" s="1">
        <f>G16+500000</f>
        <v>5500000</v>
      </c>
      <c r="I16" s="1">
        <f>H16+500000+150000000</f>
        <v>156000000</v>
      </c>
    </row>
    <row r="17" spans="2:9">
      <c r="B17" s="4"/>
    </row>
    <row r="18" spans="2:9">
      <c r="B18" s="2" t="s">
        <v>8</v>
      </c>
      <c r="E18" s="9">
        <f>D20*(1+$B$9)</f>
        <v>109000000.00000001</v>
      </c>
      <c r="F18" s="9">
        <f>E20*(1+$B$9)</f>
        <v>114450000.00000003</v>
      </c>
      <c r="G18" s="9">
        <f>F20*(1+$B$9)</f>
        <v>119845500.00000004</v>
      </c>
      <c r="H18" s="9">
        <f>G20*(1+$B$9)</f>
        <v>125181595.00000006</v>
      </c>
      <c r="I18" s="9">
        <f>H20*(1+$B$9)</f>
        <v>130452938.55000007</v>
      </c>
    </row>
    <row r="19" spans="2:9">
      <c r="B19" s="2" t="s">
        <v>9</v>
      </c>
      <c r="C19" s="10"/>
      <c r="E19" s="9">
        <f>-MIN(E18,E16)</f>
        <v>-4000000</v>
      </c>
      <c r="F19" s="9">
        <f>-MIN(F18,F16)</f>
        <v>-4500000</v>
      </c>
      <c r="G19" s="9">
        <f>-MIN(G18,G16)</f>
        <v>-5000000</v>
      </c>
      <c r="H19" s="9">
        <f>-MIN(H18,H16)</f>
        <v>-5500000</v>
      </c>
      <c r="I19" s="9">
        <f>-MIN(I18,I16)</f>
        <v>-130452938.55000007</v>
      </c>
    </row>
    <row r="20" spans="2:9">
      <c r="B20" s="2" t="s">
        <v>10</v>
      </c>
      <c r="D20" s="11">
        <f>B7+B8</f>
        <v>100000000</v>
      </c>
      <c r="E20" s="11">
        <f>SUM(E18:E19)</f>
        <v>105000000.00000001</v>
      </c>
      <c r="F20" s="11">
        <f>SUM(F18:F19)</f>
        <v>109950000.00000003</v>
      </c>
      <c r="G20" s="11">
        <f>SUM(G18:G19)</f>
        <v>114845500.00000004</v>
      </c>
      <c r="H20" s="11">
        <f>SUM(H18:H19)</f>
        <v>119681595.00000006</v>
      </c>
      <c r="I20" s="11">
        <f>SUM(I18:I19)</f>
        <v>0</v>
      </c>
    </row>
    <row r="21" spans="2:9">
      <c r="B21" s="4"/>
    </row>
    <row r="22" spans="2:9">
      <c r="B22" s="2" t="s">
        <v>11</v>
      </c>
      <c r="E22" s="9">
        <f>E16+E19</f>
        <v>0</v>
      </c>
      <c r="F22" s="9">
        <f>F16+F19</f>
        <v>0</v>
      </c>
      <c r="G22" s="9">
        <f>G16+G19</f>
        <v>0</v>
      </c>
      <c r="H22" s="9">
        <f>H16+H19</f>
        <v>0</v>
      </c>
      <c r="I22" s="9">
        <f>I16+I19</f>
        <v>25547061.449999928</v>
      </c>
    </row>
    <row r="23" spans="2:9">
      <c r="B23" s="2" t="s">
        <v>12</v>
      </c>
      <c r="E23" s="9">
        <f>E22*$B$10</f>
        <v>0</v>
      </c>
      <c r="F23" s="9">
        <f>F22*$B$10</f>
        <v>0</v>
      </c>
      <c r="G23" s="9">
        <f>G22*$B$10</f>
        <v>0</v>
      </c>
      <c r="H23" s="9">
        <f>H22*$B$10</f>
        <v>0</v>
      </c>
      <c r="I23" s="9">
        <f>I22*$B$10</f>
        <v>18393884.243999947</v>
      </c>
    </row>
    <row r="24" spans="2:9">
      <c r="B24" s="2" t="s">
        <v>13</v>
      </c>
      <c r="E24" s="9">
        <f>E22*$B$11</f>
        <v>0</v>
      </c>
      <c r="F24" s="9">
        <f>F22*$B$11</f>
        <v>0</v>
      </c>
      <c r="G24" s="9">
        <f>G22*$B$11</f>
        <v>0</v>
      </c>
      <c r="H24" s="9">
        <f>H22*$B$11</f>
        <v>0</v>
      </c>
      <c r="I24" s="9">
        <f>I22*$B$11</f>
        <v>7153177.2059999807</v>
      </c>
    </row>
    <row r="25" spans="2:9">
      <c r="B25" s="4"/>
    </row>
    <row r="26" spans="2:9">
      <c r="B26" s="6" t="s">
        <v>14</v>
      </c>
      <c r="C26" s="6"/>
      <c r="D26" s="6"/>
      <c r="E26" s="6"/>
      <c r="F26" s="6"/>
      <c r="G26" s="6"/>
      <c r="H26" s="6"/>
      <c r="I26" s="6"/>
    </row>
    <row r="27" spans="2:9">
      <c r="B27" s="12" t="s">
        <v>15</v>
      </c>
      <c r="C27" s="13">
        <f>IRR(D27:I27)</f>
        <v>0.11959549689743665</v>
      </c>
      <c r="D27" s="9">
        <f>-B7</f>
        <v>-90000000</v>
      </c>
      <c r="E27" s="9">
        <f>-E19*$B$4+E23</f>
        <v>3600000</v>
      </c>
      <c r="F27" s="9">
        <f t="shared" ref="F27:I27" si="0">-F19*$B$4+F23</f>
        <v>4050000</v>
      </c>
      <c r="G27" s="9">
        <f t="shared" si="0"/>
        <v>4500000</v>
      </c>
      <c r="H27" s="9">
        <f t="shared" si="0"/>
        <v>4950000</v>
      </c>
      <c r="I27" s="9">
        <f t="shared" si="0"/>
        <v>135801528.93900001</v>
      </c>
    </row>
    <row r="28" spans="2:9">
      <c r="B28" s="12" t="s">
        <v>16</v>
      </c>
      <c r="C28" s="13">
        <f>IRR(D28:I28)</f>
        <v>0.18198830502974039</v>
      </c>
      <c r="D28" s="9">
        <f>-B8</f>
        <v>-10000000</v>
      </c>
      <c r="E28" s="9">
        <f>-E19*$B$5+E24</f>
        <v>400000</v>
      </c>
      <c r="F28" s="9">
        <f t="shared" ref="F28:I28" si="1">-F19*$B$5+F24</f>
        <v>450000</v>
      </c>
      <c r="G28" s="9">
        <f t="shared" si="1"/>
        <v>500000</v>
      </c>
      <c r="H28" s="9">
        <f t="shared" si="1"/>
        <v>550000</v>
      </c>
      <c r="I28" s="9">
        <f t="shared" si="1"/>
        <v>20198471.06099999</v>
      </c>
    </row>
    <row r="29" spans="2:9">
      <c r="B29" s="12" t="s">
        <v>17</v>
      </c>
      <c r="C29" s="13">
        <f>IRR(D29:I29)</f>
        <v>0.12650976421441817</v>
      </c>
      <c r="D29" s="9">
        <f t="shared" ref="D29:I29" si="2">SUM(D27:D28)</f>
        <v>-100000000</v>
      </c>
      <c r="E29" s="9">
        <f t="shared" si="2"/>
        <v>4000000</v>
      </c>
      <c r="F29" s="9">
        <f t="shared" si="2"/>
        <v>4500000</v>
      </c>
      <c r="G29" s="9">
        <f t="shared" si="2"/>
        <v>5000000</v>
      </c>
      <c r="H29" s="9">
        <f t="shared" si="2"/>
        <v>5500000</v>
      </c>
      <c r="I29" s="9">
        <f t="shared" si="2"/>
        <v>156000000</v>
      </c>
    </row>
    <row r="30" spans="2:9">
      <c r="B30" s="4"/>
    </row>
    <row r="31" spans="2:9">
      <c r="B31" s="5" t="s">
        <v>18</v>
      </c>
    </row>
    <row r="33" spans="2:9">
      <c r="B33" s="6" t="s">
        <v>6</v>
      </c>
      <c r="C33" s="6"/>
      <c r="D33" s="7">
        <v>0</v>
      </c>
      <c r="E33" s="7">
        <f>D33+1</f>
        <v>1</v>
      </c>
      <c r="F33" s="7">
        <f>E33+1</f>
        <v>2</v>
      </c>
      <c r="G33" s="7">
        <f>F33+1</f>
        <v>3</v>
      </c>
      <c r="H33" s="7">
        <f>G33+1</f>
        <v>4</v>
      </c>
      <c r="I33" s="7">
        <f>H33+1</f>
        <v>5</v>
      </c>
    </row>
    <row r="34" spans="2:9">
      <c r="B34" s="2" t="s">
        <v>7</v>
      </c>
      <c r="D34" s="8"/>
      <c r="E34" s="1">
        <v>4000000</v>
      </c>
      <c r="F34" s="1">
        <f>E34+500000</f>
        <v>4500000</v>
      </c>
      <c r="G34" s="1">
        <f>F34+500000</f>
        <v>5000000</v>
      </c>
      <c r="H34" s="1">
        <f>G34+500000</f>
        <v>5500000</v>
      </c>
      <c r="I34" s="1">
        <f>H34+500000+150000000</f>
        <v>156000000</v>
      </c>
    </row>
    <row r="36" spans="2:9">
      <c r="B36" s="2" t="s">
        <v>8</v>
      </c>
      <c r="E36" s="9">
        <f>D38*(1+$B$9)</f>
        <v>98100000</v>
      </c>
      <c r="F36" s="9">
        <f>E38*(1+$B$9)</f>
        <v>102569000.00000001</v>
      </c>
      <c r="G36" s="9">
        <f>F38*(1+$B$9)</f>
        <v>106895210.00000003</v>
      </c>
      <c r="H36" s="9">
        <f>G38*(1+$B$9)</f>
        <v>111065778.90000004</v>
      </c>
      <c r="I36" s="9">
        <f>H38*(1+$B$9)</f>
        <v>115066699.00100005</v>
      </c>
    </row>
    <row r="37" spans="2:9">
      <c r="B37" s="2" t="s">
        <v>9</v>
      </c>
      <c r="C37" s="10"/>
      <c r="E37" s="9">
        <f>-MIN(E36,E34)</f>
        <v>-4000000</v>
      </c>
      <c r="F37" s="9">
        <f>-MIN(F36,F34)</f>
        <v>-4500000</v>
      </c>
      <c r="G37" s="9">
        <f>-MIN(G36,G34)</f>
        <v>-5000000</v>
      </c>
      <c r="H37" s="9">
        <f>-MIN(H36,H34)</f>
        <v>-5500000</v>
      </c>
      <c r="I37" s="9">
        <f>-MIN(I36,I34)</f>
        <v>-115066699.00100005</v>
      </c>
    </row>
    <row r="38" spans="2:9">
      <c r="B38" s="2" t="s">
        <v>10</v>
      </c>
      <c r="D38" s="11">
        <f>B7</f>
        <v>90000000</v>
      </c>
      <c r="E38" s="11">
        <f>SUM(E36:E37)</f>
        <v>94100000</v>
      </c>
      <c r="F38" s="11">
        <f>SUM(F36:F37)</f>
        <v>98069000.000000015</v>
      </c>
      <c r="G38" s="11">
        <f>SUM(G36:G37)</f>
        <v>101895210.00000003</v>
      </c>
      <c r="H38" s="11">
        <f>SUM(H36:H37)</f>
        <v>105565778.90000004</v>
      </c>
      <c r="I38" s="11">
        <f>SUM(I36:I37)</f>
        <v>0</v>
      </c>
    </row>
    <row r="40" spans="2:9">
      <c r="B40" s="2" t="s">
        <v>19</v>
      </c>
      <c r="E40" s="9">
        <f>D42*(1+$B$9)</f>
        <v>10900000</v>
      </c>
      <c r="F40" s="9">
        <f>E42*(1+$B$9)</f>
        <v>11881000</v>
      </c>
      <c r="G40" s="9">
        <f>F42*(1+$B$9)</f>
        <v>12950290.000000002</v>
      </c>
      <c r="H40" s="9">
        <f>G42*(1+$B$9)</f>
        <v>14115816.100000003</v>
      </c>
      <c r="I40" s="9">
        <f>H42*(1+$B$9)</f>
        <v>15386239.549000004</v>
      </c>
    </row>
    <row r="41" spans="2:9">
      <c r="B41" s="2" t="s">
        <v>9</v>
      </c>
      <c r="C41" s="10"/>
      <c r="E41" s="9">
        <f>-MIN(E40,E34+E37)</f>
        <v>0</v>
      </c>
      <c r="F41" s="9">
        <f>-MIN(F40,F34+F37)</f>
        <v>0</v>
      </c>
      <c r="G41" s="9">
        <f>-MIN(G40,G34+G37)</f>
        <v>0</v>
      </c>
      <c r="H41" s="9">
        <f>-MIN(H40,H34+H37)</f>
        <v>0</v>
      </c>
      <c r="I41" s="9">
        <f>-MIN(I40,I34+I37)</f>
        <v>-15386239.549000004</v>
      </c>
    </row>
    <row r="42" spans="2:9">
      <c r="B42" s="2" t="s">
        <v>20</v>
      </c>
      <c r="D42" s="11">
        <f>B8</f>
        <v>10000000</v>
      </c>
      <c r="E42" s="11">
        <f>SUM(E40:E41)</f>
        <v>10900000</v>
      </c>
      <c r="F42" s="11">
        <f>SUM(F40:F41)</f>
        <v>11881000</v>
      </c>
      <c r="G42" s="11">
        <f>SUM(G40:G41)</f>
        <v>12950290.000000002</v>
      </c>
      <c r="H42" s="11">
        <f>SUM(H40:H41)</f>
        <v>14115816.100000003</v>
      </c>
      <c r="I42" s="11">
        <f>SUM(I40:I41)</f>
        <v>0</v>
      </c>
    </row>
    <row r="44" spans="2:9">
      <c r="B44" s="2" t="s">
        <v>11</v>
      </c>
      <c r="E44" s="9">
        <f>E34+E37+E41</f>
        <v>0</v>
      </c>
      <c r="F44" s="9">
        <f>F34+F37+F41</f>
        <v>0</v>
      </c>
      <c r="G44" s="9">
        <f>G34+G37+G41</f>
        <v>0</v>
      </c>
      <c r="H44" s="9">
        <f>H34+H37+H41</f>
        <v>0</v>
      </c>
      <c r="I44" s="9">
        <f>I34+I37+I41</f>
        <v>25547061.449999951</v>
      </c>
    </row>
    <row r="45" spans="2:9">
      <c r="B45" s="2" t="s">
        <v>12</v>
      </c>
      <c r="E45" s="9">
        <f>E44*$B$10</f>
        <v>0</v>
      </c>
      <c r="F45" s="9">
        <f>F44*$B$10</f>
        <v>0</v>
      </c>
      <c r="G45" s="9">
        <f>G44*$B$10</f>
        <v>0</v>
      </c>
      <c r="H45" s="9">
        <f>H44*$B$10</f>
        <v>0</v>
      </c>
      <c r="I45" s="9">
        <f>I44*$B$10</f>
        <v>18393884.243999965</v>
      </c>
    </row>
    <row r="46" spans="2:9">
      <c r="B46" s="2" t="s">
        <v>13</v>
      </c>
      <c r="E46" s="9">
        <f>E44*$B$11</f>
        <v>0</v>
      </c>
      <c r="F46" s="9">
        <f>F44*$B$11</f>
        <v>0</v>
      </c>
      <c r="G46" s="9">
        <f>G44*$B$11</f>
        <v>0</v>
      </c>
      <c r="H46" s="9">
        <f>H44*$B$11</f>
        <v>0</v>
      </c>
      <c r="I46" s="9">
        <f>I44*$B$11</f>
        <v>7153177.2059999872</v>
      </c>
    </row>
    <row r="48" spans="2:9">
      <c r="B48" s="6" t="s">
        <v>14</v>
      </c>
      <c r="C48" s="6"/>
      <c r="D48" s="6"/>
      <c r="E48" s="6"/>
      <c r="F48" s="6"/>
      <c r="G48" s="6"/>
      <c r="H48" s="6"/>
      <c r="I48" s="6"/>
    </row>
    <row r="49" spans="2:9">
      <c r="B49" s="12" t="s">
        <v>15</v>
      </c>
      <c r="C49" s="13">
        <f>IRR(D49:I49)</f>
        <v>0.11984363634346984</v>
      </c>
      <c r="D49" s="9">
        <f>-B7</f>
        <v>-90000000</v>
      </c>
      <c r="E49" s="9">
        <f>-E37+E45</f>
        <v>4000000</v>
      </c>
      <c r="F49" s="9">
        <f>-F37+F45</f>
        <v>4500000</v>
      </c>
      <c r="G49" s="9">
        <f>-G37+G45</f>
        <v>5000000</v>
      </c>
      <c r="H49" s="9">
        <f>-H37+H45</f>
        <v>5500000</v>
      </c>
      <c r="I49" s="9">
        <f>-I37+I45</f>
        <v>133460583.245</v>
      </c>
    </row>
    <row r="50" spans="2:9">
      <c r="B50" s="12" t="s">
        <v>16</v>
      </c>
      <c r="C50" s="13">
        <f>IRR(D50:I50)</f>
        <v>0.17649079824316227</v>
      </c>
      <c r="D50" s="9">
        <f>-B8</f>
        <v>-10000000</v>
      </c>
      <c r="E50" s="9">
        <f>-E41+E46</f>
        <v>0</v>
      </c>
      <c r="F50" s="9">
        <f>-F41+F46</f>
        <v>0</v>
      </c>
      <c r="G50" s="9">
        <f>-G41+G46</f>
        <v>0</v>
      </c>
      <c r="H50" s="9">
        <f>-H41+H46</f>
        <v>0</v>
      </c>
      <c r="I50" s="9">
        <f>-I41+I46</f>
        <v>22539416.754999992</v>
      </c>
    </row>
    <row r="51" spans="2:9">
      <c r="B51" s="12" t="s">
        <v>17</v>
      </c>
      <c r="C51" s="13">
        <f>IRR(D51:I51)</f>
        <v>0.12650976421441817</v>
      </c>
      <c r="D51" s="9">
        <f t="shared" ref="D51:I51" si="3">SUM(D49:D50)</f>
        <v>-100000000</v>
      </c>
      <c r="E51" s="9">
        <f t="shared" si="3"/>
        <v>4000000</v>
      </c>
      <c r="F51" s="9">
        <f t="shared" si="3"/>
        <v>4500000</v>
      </c>
      <c r="G51" s="9">
        <f t="shared" si="3"/>
        <v>5000000</v>
      </c>
      <c r="H51" s="9">
        <f t="shared" si="3"/>
        <v>5500000</v>
      </c>
      <c r="I51" s="9">
        <f t="shared" si="3"/>
        <v>156000000</v>
      </c>
    </row>
  </sheetData>
  <pageMargins left="0.75" right="0.75" top="1" bottom="1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Waterfall</vt:lpstr>
    </vt:vector>
  </TitlesOfParts>
  <Company>UBS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 Syed</dc:creator>
  <cp:lastModifiedBy>David Donovan</cp:lastModifiedBy>
  <dcterms:created xsi:type="dcterms:W3CDTF">2015-10-08T18:51:25Z</dcterms:created>
  <dcterms:modified xsi:type="dcterms:W3CDTF">2022-10-06T23:45:09Z</dcterms:modified>
</cp:coreProperties>
</file>