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dex" sheetId="1" r:id="rId4"/>
    <sheet state="visible" name="Global Inputs" sheetId="2" r:id="rId5"/>
    <sheet state="visible" name="Rent Rolls" sheetId="3" r:id="rId6"/>
    <sheet state="hidden" name="helper data" sheetId="4" r:id="rId7"/>
    <sheet state="visible" name="Pro Forma Detail" sheetId="5" r:id="rId8"/>
    <sheet state="visible" name="Executive Summary" sheetId="6" r:id="rId9"/>
    <sheet state="visible" name="Waterfall" sheetId="7" r:id="rId10"/>
    <sheet state="visible" name="Visual" sheetId="8" r:id="rId11"/>
    <sheet state="visible" name="Debt" sheetId="9" r:id="rId12"/>
    <sheet state="visible" name="Debt ReFi" sheetId="10" r:id="rId13"/>
    <sheet state="hidden" name="Pro Forma Data Entry" sheetId="11" r:id="rId14"/>
    <sheet state="hidden" name="Rent Income Data Entry" sheetId="12" r:id="rId15"/>
    <sheet state="hidden" name="Payment" sheetId="13" r:id="rId16"/>
    <sheet state="hidden" name="Amortization" sheetId="14" r:id="rId17"/>
  </sheets>
  <definedNames/>
  <calcPr/>
  <extLst>
    <ext uri="GoogleSheetsCustomDataVersion1">
      <go:sheetsCustomData xmlns:go="http://customooxmlschemas.google.com/" r:id="rId18" roundtripDataSignature="AMtx7mgymdla9fXH73fhfrzmj+heT/xMdA=="/>
    </ext>
  </extLst>
</workbook>
</file>

<file path=xl/comments1.xml><?xml version="1.0" encoding="utf-8"?>
<comments xmlns:r="http://schemas.openxmlformats.org/officeDocument/2006/relationships" xmlns="http://schemas.openxmlformats.org/spreadsheetml/2006/main">
  <authors>
    <author/>
  </authors>
  <commentList>
    <comment authorId="0" ref="C8">
      <text>
        <t xml:space="preserve">======
ID#AAAAdAkYuO0
    (2022-07-23 23:46:38)
If you put 'Yes" these expenses will fill into the 'total expenses row' instead of pulling from each individual expense row.
	-Jason Varner</t>
      </text>
    </comment>
  </commentList>
  <extLst>
    <ext uri="GoogleSheetsCustomDataVersion1">
      <go:sheetsCustomData xmlns:go="http://customooxmlschemas.google.com/" r:id="rId1" roundtripDataSignature="AMtx7mgUhvONRT0FaT7yZC1gqPnLUhWVZw=="/>
    </ext>
  </extLst>
</comments>
</file>

<file path=xl/sharedStrings.xml><?xml version="1.0" encoding="utf-8"?>
<sst xmlns="http://schemas.openxmlformats.org/spreadsheetml/2006/main" count="486" uniqueCount="342">
  <si>
    <t>D</t>
  </si>
  <si>
    <t>RAISES.COM EXAMPLE (MF) Realty Partners</t>
  </si>
  <si>
    <t>Join Venture Multi-Family Financial Model - Up to 10 Years - Annual Only</t>
  </si>
  <si>
    <t>Tab Name</t>
  </si>
  <si>
    <t>Description</t>
  </si>
  <si>
    <t>Global Inputs</t>
  </si>
  <si>
    <t>All the high level assumptions for the targetted asset criteria. Includes things like purchase price, investor/sponsor initial contributions, and debt.</t>
  </si>
  <si>
    <t>Rent Rolls</t>
  </si>
  <si>
    <t>All the details that drive revenue per unit type. There are spaces to put in current rent rolls and then expected Y1 increase / market rent.</t>
  </si>
  <si>
    <t>helper data</t>
  </si>
  <si>
    <t>Contains references for debt service and if you want to drive the expenses by entering one total figure rather than driving down into each expense. Use dropdowns.</t>
  </si>
  <si>
    <t>Pro Forma Detail</t>
  </si>
  <si>
    <t>This is where you drive all the main operational inputs such as rent and expense growth, refi year / LTV, exit year, and more.</t>
  </si>
  <si>
    <t>Waterfall</t>
  </si>
  <si>
    <t>This is all the logic to show how the distributal cash flow gets split between the investor and sponsor through 3 tiers and a final split.</t>
  </si>
  <si>
    <t>Visual</t>
  </si>
  <si>
    <t>Shows the cash flows to the sponsor and investor in each year.</t>
  </si>
  <si>
    <t>Debt</t>
  </si>
  <si>
    <t>Amortization schedule of the initial loan.</t>
  </si>
  <si>
    <t>Debt Refi</t>
  </si>
  <si>
    <t>Amortization schedule of the refinanced loan.</t>
  </si>
  <si>
    <r>
      <rPr>
        <rFont val="Arial"/>
        <b/>
        <color rgb="FF000000"/>
        <sz val="10.0"/>
      </rPr>
      <t xml:space="preserve">Note: </t>
    </r>
    <r>
      <rPr>
        <rFont val="Arial"/>
        <color rgb="FF000000"/>
        <sz val="10.0"/>
      </rPr>
      <t>On the '</t>
    </r>
    <r>
      <rPr>
        <rFont val="Arial"/>
        <b/>
        <color rgb="FF000000"/>
        <sz val="10.0"/>
      </rPr>
      <t>Debt Refi</t>
    </r>
    <r>
      <rPr>
        <rFont val="Arial"/>
        <color rgb="FF000000"/>
        <sz val="10.0"/>
      </rPr>
      <t xml:space="preserve">' tab make sure the 'start date of the project Cell B8' is the same as the start date on the </t>
    </r>
    <r>
      <rPr>
        <rFont val="Arial"/>
        <b/>
        <color rgb="FF000000"/>
        <sz val="10.0"/>
      </rPr>
      <t>'debt</t>
    </r>
    <r>
      <rPr>
        <rFont val="Arial"/>
        <color rgb="FF000000"/>
        <sz val="10.0"/>
      </rPr>
      <t>' tab cell B8. Also, the total debt service in the year of refinance looks like it is less than the previous years. That is on purpose because the cash going to pay off the original debt includes that extra principal amount that you would normally see there. It all nets out to the right amount. This has been checked.</t>
    </r>
  </si>
  <si>
    <t>$200M Portfolio Metrics</t>
  </si>
  <si>
    <t>Property Specs</t>
  </si>
  <si>
    <t>Units</t>
  </si>
  <si>
    <t>Net Rentable Area (SF)</t>
  </si>
  <si>
    <t>Number of Buildings</t>
  </si>
  <si>
    <t>Number of Stories</t>
  </si>
  <si>
    <t>Year Built</t>
  </si>
  <si>
    <t>Lot Size (S.F)</t>
  </si>
  <si>
    <t>Capital Structure</t>
  </si>
  <si>
    <t xml:space="preserve">Purchase Price </t>
  </si>
  <si>
    <t>CapEx</t>
  </si>
  <si>
    <t>% of CapEx Financed</t>
  </si>
  <si>
    <t>Remaining Cap Ex to Equity Req.</t>
  </si>
  <si>
    <t>Pre-Purchase fees</t>
  </si>
  <si>
    <t>Financing Amount (LTV %)</t>
  </si>
  <si>
    <t>Total Equity Investment</t>
  </si>
  <si>
    <t xml:space="preserve"> Acquisition Metrics</t>
  </si>
  <si>
    <t>Price $/Unit</t>
  </si>
  <si>
    <t>Cost $/sq. ft.</t>
  </si>
  <si>
    <t>Cap Rate Yr 1</t>
  </si>
  <si>
    <t>Operating Proforma current Year</t>
  </si>
  <si>
    <t>Net Operating Income</t>
  </si>
  <si>
    <t>Annual Debt Service (2.75%)</t>
  </si>
  <si>
    <t>Net Cash Flow After Debt Service</t>
  </si>
  <si>
    <t>Cash on Cash Return</t>
  </si>
  <si>
    <t>Cash on Cash after Capex</t>
  </si>
  <si>
    <t>Debt Service Coverage:</t>
  </si>
  <si>
    <t>Returns</t>
  </si>
  <si>
    <t>Sponsor Annualized ROI</t>
  </si>
  <si>
    <t>Investor Annualized ROI</t>
  </si>
  <si>
    <t>Calculations of earnings contain many variables, results may vary.</t>
  </si>
  <si>
    <t>Equity Contribution</t>
  </si>
  <si>
    <t>Investor</t>
  </si>
  <si>
    <t>Sponsor</t>
  </si>
  <si>
    <t>Debt Service (Loan 1)</t>
  </si>
  <si>
    <t>Annual Interest Rate *</t>
  </si>
  <si>
    <t>Duration (Years) *</t>
  </si>
  <si>
    <t>Payments/Year *</t>
  </si>
  <si>
    <t>Amount Financed</t>
  </si>
  <si>
    <t>Monthly Payment</t>
  </si>
  <si>
    <t>Annual Debt Service</t>
  </si>
  <si>
    <t>Detail or High Level&gt;</t>
  </si>
  <si>
    <t>High Level</t>
  </si>
  <si>
    <t>*Detailed means pro forma driven by the break-down by B8:i12 and high level driven by B17:D18.</t>
  </si>
  <si>
    <t>Unit Count per Type</t>
  </si>
  <si>
    <t>Monthly Rent per Unit</t>
  </si>
  <si>
    <t>Current Annual Rent</t>
  </si>
  <si>
    <t>% Under Market</t>
  </si>
  <si>
    <t>Market rent per unit </t>
  </si>
  <si>
    <t>Market annual rent</t>
  </si>
  <si>
    <t>Year 1 Increase from Current</t>
  </si>
  <si>
    <t>Increase To per Unit</t>
  </si>
  <si>
    <t>Increase by per Unit</t>
  </si>
  <si>
    <t>Studio</t>
  </si>
  <si>
    <t>1bd/1ba</t>
  </si>
  <si>
    <t>1bd/1ba Large</t>
  </si>
  <si>
    <t>2bd/2ba</t>
  </si>
  <si>
    <t>3bd/2ba TH</t>
  </si>
  <si>
    <t>Unit Count</t>
  </si>
  <si>
    <t>Annual Rent Roll Current</t>
  </si>
  <si>
    <t>Annual Rent Roll Year 1</t>
  </si>
  <si>
    <t>10 Year Pro Forma Profit and Loss</t>
  </si>
  <si>
    <t>Current</t>
  </si>
  <si>
    <t>Year end Loan Balance (Loan 1)</t>
  </si>
  <si>
    <t>Year end Loan Balance (ReFi)</t>
  </si>
  <si>
    <t>Use this high-level expense assumption?</t>
  </si>
  <si>
    <t>No</t>
  </si>
  <si>
    <t>Expenses</t>
  </si>
  <si>
    <t>Income</t>
  </si>
  <si>
    <t xml:space="preserve">Current </t>
  </si>
  <si>
    <t>NA</t>
  </si>
  <si>
    <t>Annual Growth Rate………….</t>
  </si>
  <si>
    <t xml:space="preserve">Gross Potential Rent   </t>
  </si>
  <si>
    <t xml:space="preserve">Other Income / Utility Reimbursement </t>
  </si>
  <si>
    <t>Other Income Type 1</t>
  </si>
  <si>
    <t>Other Income Type 2</t>
  </si>
  <si>
    <t>Other Income Type 3</t>
  </si>
  <si>
    <t>Other Income Type 4</t>
  </si>
  <si>
    <t>Vacancy Loss  %</t>
  </si>
  <si>
    <t>Vacancy Loss</t>
  </si>
  <si>
    <t>Credit Loss / Loss to Lease %</t>
  </si>
  <si>
    <t>Effective Gross Income (EGI)</t>
  </si>
  <si>
    <t>Operating Expenses</t>
  </si>
  <si>
    <t>Annual Growth Rate</t>
  </si>
  <si>
    <t>Management Fee %</t>
  </si>
  <si>
    <t>Payroll</t>
  </si>
  <si>
    <t>Administrative / Other</t>
  </si>
  <si>
    <t>Utilities</t>
  </si>
  <si>
    <t>Electric</t>
  </si>
  <si>
    <t>Gas</t>
  </si>
  <si>
    <t>Water Sewer</t>
  </si>
  <si>
    <t>RE Taxes (increase post purchase)</t>
  </si>
  <si>
    <t>Property Insurance</t>
  </si>
  <si>
    <t>Total Expense</t>
  </si>
  <si>
    <t>Net Operating Income (NOI)</t>
  </si>
  <si>
    <t>Principal (Debt Service)</t>
  </si>
  <si>
    <t>Interest (Debt Service)</t>
  </si>
  <si>
    <t>Total Debt Service</t>
  </si>
  <si>
    <t>Net Cash Flow After Debt &amp; Reserves</t>
  </si>
  <si>
    <t>Investment Amount</t>
  </si>
  <si>
    <t>Cash Flow Distributions</t>
  </si>
  <si>
    <t>Full Investor Share</t>
  </si>
  <si>
    <t>Investors Share Based on Contribution</t>
  </si>
  <si>
    <t>Investors Cash-on-Cash % Return</t>
  </si>
  <si>
    <t>Sponsor Share</t>
  </si>
  <si>
    <t>Exit Cap Rate (refi)</t>
  </si>
  <si>
    <t>Exit Value (refi)</t>
  </si>
  <si>
    <t>ReFi $ per LTV</t>
  </si>
  <si>
    <t>LTV on ReFi</t>
  </si>
  <si>
    <t>Original Loan Balance</t>
  </si>
  <si>
    <t>Remaining Cash</t>
  </si>
  <si>
    <t>Pre-Pay Penalty %</t>
  </si>
  <si>
    <t>Less Pre-Pay Penalty</t>
  </si>
  <si>
    <t>Less Lender Fees</t>
  </si>
  <si>
    <t>Cash Remaining For Split</t>
  </si>
  <si>
    <t>Investor %</t>
  </si>
  <si>
    <t>ReFi Year</t>
  </si>
  <si>
    <t>Sponsor %</t>
  </si>
  <si>
    <t>ReFi Rate</t>
  </si>
  <si>
    <t>Exit Strategy</t>
  </si>
  <si>
    <t>Exit Cap Rate</t>
  </si>
  <si>
    <t>Exit Value</t>
  </si>
  <si>
    <t>Debt Pay-Down</t>
  </si>
  <si>
    <t>Less Selling Fees</t>
  </si>
  <si>
    <t>Net Exit Value</t>
  </si>
  <si>
    <t>Split of Exit Cash Flow</t>
  </si>
  <si>
    <t>Investor share based on contribution</t>
  </si>
  <si>
    <t>Exit Year</t>
  </si>
  <si>
    <t>Debt Service Coverage Ratio</t>
  </si>
  <si>
    <t>Final Cash Flow Split</t>
  </si>
  <si>
    <t>Annualized ROI</t>
  </si>
  <si>
    <t>Full Investor</t>
  </si>
  <si>
    <t>Investor proceed based on contribution</t>
  </si>
  <si>
    <t>Full Investor Running Balance</t>
  </si>
  <si>
    <t>Investor Running Balance based on contribution</t>
  </si>
  <si>
    <t>Investors Accumulated ROI</t>
  </si>
  <si>
    <t>Sponsor Running Balance</t>
  </si>
  <si>
    <t>Sponsor Accumulated ROI</t>
  </si>
  <si>
    <t xml:space="preserve">This information has been secured from sources we believe to be reliable.  We make no representations or warranties expressed or implied as to the accuracy of the information. </t>
  </si>
  <si>
    <t>IRR Investor Pool</t>
  </si>
  <si>
    <t>IRR Sponsor</t>
  </si>
  <si>
    <t>Revenue</t>
  </si>
  <si>
    <t>Potential Rent Revenue</t>
  </si>
  <si>
    <t>Vacancy</t>
  </si>
  <si>
    <t>Loss to Lease / Credit Loss</t>
  </si>
  <si>
    <t>Gross Rent Revenue</t>
  </si>
  <si>
    <t>Ancillary Revenue</t>
  </si>
  <si>
    <t>Contractors</t>
  </si>
  <si>
    <t>Prep Due ot Turnover</t>
  </si>
  <si>
    <t>Repairs &amp; Maintenance</t>
  </si>
  <si>
    <t>Marketing % Advertising</t>
  </si>
  <si>
    <t>Management Fee</t>
  </si>
  <si>
    <t>Payroll / Wages</t>
  </si>
  <si>
    <t>Total Operating Expenses</t>
  </si>
  <si>
    <t>Other Items</t>
  </si>
  <si>
    <t>Debt Service</t>
  </si>
  <si>
    <t>Net Cash From Refi</t>
  </si>
  <si>
    <t>Net Cash From Exit</t>
  </si>
  <si>
    <t>Total Other Items</t>
  </si>
  <si>
    <t>Total Distributable Cash Flow</t>
  </si>
  <si>
    <t>Limited Partner (Investor) Distributions</t>
  </si>
  <si>
    <t>General Partner (Sponsor) Distributions</t>
  </si>
  <si>
    <t>Waterfall Distribution with IRR Hurdles</t>
  </si>
  <si>
    <t>IRR Hurdles</t>
  </si>
  <si>
    <t>Hurdle</t>
  </si>
  <si>
    <t>LP</t>
  </si>
  <si>
    <t>GP</t>
  </si>
  <si>
    <t>Promote</t>
  </si>
  <si>
    <t>Tier 1</t>
  </si>
  <si>
    <t>Tier 2</t>
  </si>
  <si>
    <t>Tier 3</t>
  </si>
  <si>
    <t>Thereafter</t>
  </si>
  <si>
    <t>Total</t>
  </si>
  <si>
    <t>Contributions</t>
  </si>
  <si>
    <t>Distributions</t>
  </si>
  <si>
    <t>Total Cash Flows</t>
  </si>
  <si>
    <t>Tier 1 Distributions</t>
  </si>
  <si>
    <t xml:space="preserve">Limited Partner </t>
  </si>
  <si>
    <t>Beginning Balance</t>
  </si>
  <si>
    <t>Add: Contributions</t>
  </si>
  <si>
    <t>Preferred Return Due</t>
  </si>
  <si>
    <t>Ending Balance</t>
  </si>
  <si>
    <t>Check</t>
  </si>
  <si>
    <t>General Partner</t>
  </si>
  <si>
    <t>Cash Flows for Tier 2</t>
  </si>
  <si>
    <t>Tier 2 Distributions</t>
  </si>
  <si>
    <t>Cash Flows for Tier 3</t>
  </si>
  <si>
    <t>Tier 3 Distributions</t>
  </si>
  <si>
    <t>Cash Flows Thereafter</t>
  </si>
  <si>
    <t>Thereafter Distributions</t>
  </si>
  <si>
    <t>Investor (LP) Cash Flows</t>
  </si>
  <si>
    <t>Sponsor (GP) Cash Flows</t>
  </si>
  <si>
    <t>Financing</t>
  </si>
  <si>
    <t>Financed Amount</t>
  </si>
  <si>
    <t>Total Interest</t>
  </si>
  <si>
    <t>Monthly Debt Service</t>
  </si>
  <si>
    <t>Interest Only</t>
  </si>
  <si>
    <t>Loan Term</t>
  </si>
  <si>
    <t>Total Principle</t>
  </si>
  <si>
    <t>Starting Annual Interest Rate</t>
  </si>
  <si>
    <t>Total Paid Back</t>
  </si>
  <si>
    <t>Payment per Year</t>
  </si>
  <si>
    <t>First Payment Date</t>
  </si>
  <si>
    <t>Interest Only Through Year…</t>
  </si>
  <si>
    <t>Start Date of Project</t>
  </si>
  <si>
    <t>Payment Number</t>
  </si>
  <si>
    <t>PAYMENT</t>
  </si>
  <si>
    <t>INTEREST</t>
  </si>
  <si>
    <t>PRINCIPAL</t>
  </si>
  <si>
    <t>BALANCE</t>
  </si>
  <si>
    <t>TOTAL INTEREST</t>
  </si>
  <si>
    <t>TOTAL PAID</t>
  </si>
  <si>
    <t>Monthly Rate</t>
  </si>
  <si>
    <t>Date</t>
  </si>
  <si>
    <t>year</t>
  </si>
  <si>
    <t>Data</t>
  </si>
  <si>
    <t>helper principal</t>
  </si>
  <si>
    <t>helper interest</t>
  </si>
  <si>
    <t>helper balance</t>
  </si>
  <si>
    <t>Portfolio 5 YEAR INCOME AND EXPENSE PROFORMA</t>
  </si>
  <si>
    <t>12717 N 19th Street &amp; 12202 N 15th Street, Tampa, FL 33612</t>
  </si>
  <si>
    <t>Loan Type</t>
  </si>
  <si>
    <t>New First Mortgage</t>
  </si>
  <si>
    <t xml:space="preserve">  Per Unit</t>
  </si>
  <si>
    <t>Asking Price</t>
  </si>
  <si>
    <t xml:space="preserve">Offer Price </t>
  </si>
  <si>
    <t>DOWN PAYMENT %:</t>
  </si>
  <si>
    <t>Down Payment</t>
  </si>
  <si>
    <t>Loan Cost &amp; Inspections &amp; Acqisition fee</t>
  </si>
  <si>
    <t>Total Investment</t>
  </si>
  <si>
    <t>Loan Amount</t>
  </si>
  <si>
    <t>Debt Service (Annual)</t>
  </si>
  <si>
    <t>INTEREST RATE %:</t>
  </si>
  <si>
    <t>LOAN TERM (MONTHS):</t>
  </si>
  <si>
    <t>1983 &amp; 1984</t>
  </si>
  <si>
    <t>Lot Size (acres)</t>
  </si>
  <si>
    <t>Cost Per Sq.Ft.</t>
  </si>
  <si>
    <t>Pro Forma</t>
  </si>
  <si>
    <t>Number of Units</t>
  </si>
  <si>
    <t>Rentable Area (sq ft)</t>
  </si>
  <si>
    <t>YR 1</t>
  </si>
  <si>
    <t>YR 2</t>
  </si>
  <si>
    <t>YR 3</t>
  </si>
  <si>
    <t>YR 4</t>
  </si>
  <si>
    <t>YR 5</t>
  </si>
  <si>
    <t>Year End 7/14/15</t>
  </si>
  <si>
    <t>Other Income</t>
  </si>
  <si>
    <t>Utility Reimbursement</t>
  </si>
  <si>
    <t xml:space="preserve">Credit/Lease Loss </t>
  </si>
  <si>
    <t>This year's vacancies (%):</t>
  </si>
  <si>
    <t>Late Fees</t>
  </si>
  <si>
    <t>Non-Revenue Unit</t>
  </si>
  <si>
    <t>Rent Concessions</t>
  </si>
  <si>
    <t>Year-to-Year % Increase YEAR 4 AND YEAR 5</t>
  </si>
  <si>
    <t>Year-to-Year % Increase</t>
  </si>
  <si>
    <t>Advertising</t>
  </si>
  <si>
    <t>Contract Services</t>
  </si>
  <si>
    <t>Site Maintenance (Yard)</t>
  </si>
  <si>
    <t>Turnover</t>
  </si>
  <si>
    <t>General &amp; Administrative</t>
  </si>
  <si>
    <t>% of Effective Gross Income (EGI)</t>
  </si>
  <si>
    <t>Common Area Maintenance</t>
  </si>
  <si>
    <t>Pest Control</t>
  </si>
  <si>
    <t>Reserves &amp; Replacement</t>
  </si>
  <si>
    <t>Rubbish</t>
  </si>
  <si>
    <t>Sewer &amp; Water</t>
  </si>
  <si>
    <t>Repairs &amp; Maintenance Materials</t>
  </si>
  <si>
    <t>NOTE: 1st yr is 7% increase</t>
  </si>
  <si>
    <t>NOTE: 1st yr is based on % of EGI</t>
  </si>
  <si>
    <t>Miscellaneous</t>
  </si>
  <si>
    <t>Real Estate Taxes (2016)</t>
  </si>
  <si>
    <t>Property Hazard Insurance</t>
  </si>
  <si>
    <t>Total Non-Operating Expenses</t>
  </si>
  <si>
    <t>Cash Flow Before Debt Service</t>
  </si>
  <si>
    <t>Principle Pay Down</t>
  </si>
  <si>
    <t>Total Taxable Income</t>
  </si>
  <si>
    <t>Cap Rate</t>
  </si>
  <si>
    <t>ROI</t>
  </si>
  <si>
    <t>OPERATING ASSUMPTIONS</t>
  </si>
  <si>
    <t>Gross Rent Multiplier (GRM)</t>
  </si>
  <si>
    <t xml:space="preserve">Operating Expenses Ratio </t>
  </si>
  <si>
    <t xml:space="preserve">References to square footaged or age are approximate. Buyer must verify the information and bears all risk for any inaccuracies.  This is not an earnings claim or guarentee of earnings . </t>
  </si>
  <si>
    <t>Calculations to determine earnings contain many variables and your results may vary.</t>
  </si>
  <si>
    <t>Current rents are based on 2015 Income and Expenses Financials</t>
  </si>
  <si>
    <t>CURRENT RENTS</t>
  </si>
  <si>
    <t>Rental Income</t>
  </si>
  <si>
    <t># Units</t>
  </si>
  <si>
    <t>Monthly Rent Income</t>
  </si>
  <si>
    <t>Total Monthly Rent</t>
  </si>
  <si>
    <t>Monthly Rates</t>
  </si>
  <si>
    <t>One Bedroom</t>
  </si>
  <si>
    <t>Two Bedroom</t>
  </si>
  <si>
    <t>One Bedroom Condo Grade</t>
  </si>
  <si>
    <t>Two Bedroom Premium</t>
  </si>
  <si>
    <t>Two Bedroom Condo Grade</t>
  </si>
  <si>
    <t>Total Units</t>
  </si>
  <si>
    <t>Total Income</t>
  </si>
  <si>
    <t>YEAR 1 RENT</t>
  </si>
  <si>
    <t>% Increase in rent, current to year 1 (calculated)</t>
  </si>
  <si>
    <t>YEAR 2 RENT</t>
  </si>
  <si>
    <t>% Increase in rent, year 1 to year 2 (calculated)</t>
  </si>
  <si>
    <t>YEAR 3 RENT</t>
  </si>
  <si>
    <t xml:space="preserve">Rents for Year 3 are based on 2016 current Market Rents </t>
  </si>
  <si>
    <t>% Increase Current Yr to Yr3</t>
  </si>
  <si>
    <t>Annual % increase (1/3 of current-to-yr3)</t>
  </si>
  <si>
    <t>CALCULATED Year 1 Rent Amount</t>
  </si>
  <si>
    <t>CALCULATED Year 2 Rent Amount</t>
  </si>
  <si>
    <t>% Increase in rent, year 2 to year 3</t>
  </si>
  <si>
    <t>Payment and Amortization Schedule</t>
  </si>
  <si>
    <t>Prepared for:</t>
  </si>
  <si>
    <t>Int Rate</t>
  </si>
  <si>
    <t>Term (months)</t>
  </si>
  <si>
    <t>Payment</t>
  </si>
  <si>
    <t>Monthly Interest</t>
  </si>
  <si>
    <t>Monthly Principle</t>
  </si>
  <si>
    <t>Principle Paydown, Year 1</t>
  </si>
  <si>
    <t>Principle Paydown, Year 2</t>
  </si>
  <si>
    <t>Principle Paydown, Year 3</t>
  </si>
  <si>
    <t>Principle Paydown, Year 4</t>
  </si>
  <si>
    <t>Principle Paydown, Year 5</t>
  </si>
</sst>
</file>

<file path=xl/styles.xml><?xml version="1.0" encoding="utf-8"?>
<styleSheet xmlns="http://schemas.openxmlformats.org/spreadsheetml/2006/main" xmlns:x14ac="http://schemas.microsoft.com/office/spreadsheetml/2009/9/ac" xmlns:mc="http://schemas.openxmlformats.org/markup-compatibility/2006">
  <numFmts count="22">
    <numFmt numFmtId="164" formatCode="[$$-409]#,##0.00"/>
    <numFmt numFmtId="165" formatCode="[$$-409]#,##0"/>
    <numFmt numFmtId="166" formatCode="&quot;$&quot;#,##0"/>
    <numFmt numFmtId="167" formatCode="0.0%"/>
    <numFmt numFmtId="168" formatCode="&quot;$&quot;#,##0_);\(&quot;$&quot;#,##0\)"/>
    <numFmt numFmtId="169" formatCode="_(&quot;$&quot;* #,##0.00_);_(&quot;$&quot;* \(#,##0.00\);_(&quot;$&quot;* &quot;-&quot;??_);_(@_)"/>
    <numFmt numFmtId="170" formatCode="&quot;YR&quot;\ #"/>
    <numFmt numFmtId="171" formatCode="&quot;Credit Loss / Loss to Lease&quot;\ ##"/>
    <numFmt numFmtId="172" formatCode="0.00%\ &quot;Share&quot;"/>
    <numFmt numFmtId="173" formatCode="&quot;$&quot;#,##0.00_);\(&quot;$&quot;#,##0.00\)"/>
    <numFmt numFmtId="174" formatCode="&quot;Year&quot;\ ##"/>
    <numFmt numFmtId="175" formatCode="&quot;Scenario &quot;0"/>
    <numFmt numFmtId="176" formatCode="&quot;Year&quot;\ 0"/>
    <numFmt numFmtId="177" formatCode="0.00\x"/>
    <numFmt numFmtId="178" formatCode="&quot;IRR:&quot;\ 0.0%"/>
    <numFmt numFmtId="179" formatCode="[$-409]d\-mmm\-yy"/>
    <numFmt numFmtId="180" formatCode="&quot;$&quot;#,##0.00"/>
    <numFmt numFmtId="181" formatCode="_(&quot;$&quot;* #,##0_);_(&quot;$&quot;* \(#,##0\);_(&quot;$&quot;* &quot;-&quot;_);_(@_)"/>
    <numFmt numFmtId="182" formatCode="&quot;$&quot;#,##0.00_);[Red]\(&quot;$&quot;#,##0.00\)"/>
    <numFmt numFmtId="183" formatCode="&quot;$&quot;#,##0_);[Red]\(&quot;$&quot;#,##0\)"/>
    <numFmt numFmtId="184" formatCode="[$$-409]#,##0;\-[$$-409]#,##0"/>
    <numFmt numFmtId="185" formatCode="[$$-409]#,##0.00;[Red]\-[$$-409]#,##0.00"/>
  </numFmts>
  <fonts count="68">
    <font>
      <sz val="10.0"/>
      <color rgb="FF000000"/>
      <name val="Arial"/>
      <scheme val="minor"/>
    </font>
    <font>
      <sz val="10.0"/>
      <color rgb="FF000000"/>
      <name val="Arial"/>
    </font>
    <font>
      <i/>
      <sz val="24.0"/>
      <color rgb="FFFFFFFF"/>
      <name val="Montserrat"/>
    </font>
    <font>
      <b/>
      <sz val="10.0"/>
      <color theme="0"/>
      <name val="Arial"/>
    </font>
    <font/>
    <font>
      <b/>
      <sz val="11.0"/>
      <color theme="0"/>
      <name val="Calibri"/>
    </font>
    <font>
      <sz val="11.0"/>
      <color theme="0"/>
      <name val="Calibri"/>
    </font>
    <font>
      <sz val="11.0"/>
      <color rgb="FFFFFFFF"/>
      <name val="Calibri"/>
    </font>
    <font>
      <b/>
      <sz val="10.0"/>
      <color rgb="FF000000"/>
      <name val="Arial"/>
    </font>
    <font>
      <sz val="10.0"/>
      <color theme="10"/>
      <name val="Arial"/>
    </font>
    <font>
      <sz val="11.0"/>
      <color rgb="FFFFFFFF"/>
      <name val="Arial"/>
    </font>
    <font>
      <b/>
      <sz val="11.0"/>
      <color rgb="FFFFFFFF"/>
      <name val="Arial"/>
    </font>
    <font>
      <b/>
      <sz val="11.0"/>
      <color theme="0"/>
      <name val="Arial"/>
    </font>
    <font>
      <sz val="11.0"/>
      <color theme="1"/>
      <name val="Arial"/>
    </font>
    <font>
      <b/>
      <sz val="11.0"/>
      <color theme="1"/>
      <name val="Arial"/>
    </font>
    <font>
      <sz val="11.0"/>
      <color rgb="FF000000"/>
      <name val="Arial"/>
    </font>
    <font>
      <i/>
      <sz val="11.0"/>
      <color rgb="FF000000"/>
      <name val="Arial"/>
    </font>
    <font>
      <b/>
      <sz val="11.0"/>
      <color rgb="FF000000"/>
      <name val="Arial"/>
    </font>
    <font>
      <sz val="11.0"/>
      <color rgb="FF222222"/>
      <name val="Arial"/>
    </font>
    <font>
      <b/>
      <sz val="12.0"/>
      <color theme="1"/>
      <name val="Arial"/>
    </font>
    <font>
      <b/>
      <sz val="10.0"/>
      <color theme="1"/>
      <name val="Arial"/>
    </font>
    <font>
      <i/>
      <sz val="10.0"/>
      <color rgb="FF000000"/>
      <name val="Arial"/>
    </font>
    <font>
      <sz val="10.0"/>
      <color theme="1"/>
      <name val="Arial"/>
    </font>
    <font>
      <sz val="9.0"/>
      <color rgb="FF000000"/>
      <name val="Arial"/>
    </font>
    <font>
      <i/>
      <sz val="10.0"/>
      <color rgb="FF595959"/>
      <name val="Arial"/>
    </font>
    <font>
      <sz val="10.0"/>
      <color rgb="FF222222"/>
      <name val="Arial"/>
    </font>
    <font>
      <sz val="10.0"/>
      <color theme="0"/>
      <name val="Arial"/>
    </font>
    <font>
      <b/>
      <i/>
      <sz val="10.0"/>
      <color rgb="FF595959"/>
      <name val="Arial"/>
    </font>
    <font>
      <sz val="11.0"/>
      <color theme="0"/>
      <name val="Arial"/>
    </font>
    <font>
      <sz val="16.0"/>
      <color theme="0"/>
      <name val="Arial"/>
    </font>
    <font>
      <sz val="11.0"/>
      <color rgb="FF0000FF"/>
      <name val="Arial"/>
    </font>
    <font>
      <b/>
      <sz val="11.0"/>
      <color rgb="FF0000FF"/>
      <name val="Arial"/>
    </font>
    <font>
      <b/>
      <u/>
      <sz val="11.0"/>
      <color theme="1"/>
      <name val="Arial"/>
    </font>
    <font>
      <b/>
      <u/>
      <sz val="11.0"/>
      <color theme="1"/>
      <name val="Arial"/>
    </font>
    <font>
      <b/>
      <i/>
      <sz val="11.0"/>
      <color theme="1"/>
      <name val="Arial"/>
    </font>
    <font>
      <b/>
      <u/>
      <sz val="11.0"/>
      <color theme="1"/>
      <name val="Arial"/>
    </font>
    <font>
      <sz val="11.0"/>
      <color rgb="FF002060"/>
      <name val="Arial"/>
    </font>
    <font>
      <i/>
      <sz val="11.0"/>
      <color theme="1"/>
      <name val="Arial"/>
    </font>
    <font>
      <sz val="11.0"/>
      <color rgb="FF548135"/>
      <name val="Arial"/>
    </font>
    <font>
      <b/>
      <u/>
      <sz val="11.0"/>
      <color theme="1"/>
      <name val="Arial"/>
    </font>
    <font>
      <b/>
      <u/>
      <sz val="11.0"/>
      <color theme="0"/>
      <name val="Arial"/>
    </font>
    <font>
      <b/>
      <sz val="14.0"/>
      <color rgb="FF000000"/>
      <name val="Arial"/>
    </font>
    <font>
      <sz val="10.0"/>
      <color rgb="FFBFBFBF"/>
      <name val="Arial"/>
    </font>
    <font>
      <sz val="12.0"/>
      <color theme="1"/>
      <name val="Times New Roman"/>
    </font>
    <font>
      <b/>
      <sz val="14.0"/>
      <color theme="1"/>
      <name val="Times New Roman"/>
    </font>
    <font>
      <b/>
      <sz val="12.0"/>
      <color theme="1"/>
      <name val="Times New Roman"/>
    </font>
    <font>
      <b/>
      <sz val="11.0"/>
      <color theme="1"/>
      <name val="Times New Roman"/>
    </font>
    <font>
      <sz val="11.0"/>
      <color theme="1"/>
      <name val="Times New Roman"/>
    </font>
    <font>
      <b/>
      <sz val="10.0"/>
      <color theme="1"/>
      <name val="Times New Roman"/>
    </font>
    <font>
      <sz val="10.0"/>
      <color theme="1"/>
      <name val="Times New Roman"/>
    </font>
    <font>
      <b/>
      <sz val="10.0"/>
      <color theme="1"/>
      <name val="Domine"/>
    </font>
    <font>
      <b/>
      <i/>
      <sz val="11.0"/>
      <color theme="1"/>
      <name val="Times New Roman"/>
    </font>
    <font>
      <b/>
      <sz val="12.0"/>
      <color rgb="FF0000FF"/>
      <name val="Arial"/>
    </font>
    <font>
      <i/>
      <sz val="10.0"/>
      <color theme="1"/>
      <name val="Times New Roman"/>
    </font>
    <font>
      <sz val="9.0"/>
      <color theme="1"/>
      <name val="Times New Roman"/>
    </font>
    <font>
      <sz val="8.0"/>
      <color rgb="FFFFFFFF"/>
      <name val="Times New Roman"/>
    </font>
    <font>
      <color theme="1"/>
      <name val="Calibri"/>
    </font>
    <font>
      <b/>
      <sz val="18.0"/>
      <color rgb="FFFFFFFF"/>
      <name val="Domine"/>
    </font>
    <font>
      <sz val="12.0"/>
      <color theme="1"/>
      <name val="Arial"/>
    </font>
    <font>
      <b/>
      <i/>
      <sz val="12.0"/>
      <color theme="1"/>
      <name val="Times New Roman"/>
    </font>
    <font>
      <i/>
      <sz val="10.0"/>
      <color theme="1"/>
      <name val="Arial"/>
    </font>
    <font>
      <b/>
      <sz val="8.0"/>
      <color theme="1"/>
      <name val="Arial"/>
    </font>
    <font>
      <sz val="9.0"/>
      <color theme="1"/>
      <name val="Arial"/>
    </font>
    <font>
      <sz val="18.0"/>
      <color theme="1"/>
      <name val="Arial"/>
    </font>
    <font>
      <sz val="14.0"/>
      <color theme="1"/>
      <name val="Arial"/>
    </font>
    <font>
      <sz val="10.0"/>
      <color rgb="FFFF0000"/>
      <name val="Arial"/>
    </font>
    <font>
      <b/>
      <sz val="14.0"/>
      <color theme="1"/>
      <name val="Arial"/>
    </font>
    <font>
      <b/>
      <sz val="12.0"/>
      <color rgb="FFFFFFFF"/>
      <name val="Domine"/>
    </font>
  </fonts>
  <fills count="13">
    <fill>
      <patternFill patternType="none"/>
    </fill>
    <fill>
      <patternFill patternType="lightGray"/>
    </fill>
    <fill>
      <patternFill patternType="solid">
        <fgColor rgb="FF002060"/>
        <bgColor rgb="FF002060"/>
      </patternFill>
    </fill>
    <fill>
      <patternFill patternType="solid">
        <fgColor theme="8"/>
        <bgColor theme="8"/>
      </patternFill>
    </fill>
    <fill>
      <patternFill patternType="solid">
        <fgColor rgb="FFFFFF00"/>
        <bgColor rgb="FFFFFF00"/>
      </patternFill>
    </fill>
    <fill>
      <patternFill patternType="solid">
        <fgColor rgb="FFFFFFFF"/>
        <bgColor rgb="FFFFFFFF"/>
      </patternFill>
    </fill>
    <fill>
      <patternFill patternType="solid">
        <fgColor rgb="FFFFFF99"/>
        <bgColor rgb="FFFFFF99"/>
      </patternFill>
    </fill>
    <fill>
      <patternFill patternType="solid">
        <fgColor rgb="FFF2F2F2"/>
        <bgColor rgb="FFF2F2F2"/>
      </patternFill>
    </fill>
    <fill>
      <patternFill patternType="solid">
        <fgColor rgb="FFD8D8D8"/>
        <bgColor rgb="FFD8D8D8"/>
      </patternFill>
    </fill>
    <fill>
      <patternFill patternType="solid">
        <fgColor rgb="FFBFBFBF"/>
        <bgColor rgb="FFBFBFBF"/>
      </patternFill>
    </fill>
    <fill>
      <patternFill patternType="solid">
        <fgColor rgb="FF7F7F7F"/>
        <bgColor rgb="FF7F7F7F"/>
      </patternFill>
    </fill>
    <fill>
      <patternFill patternType="solid">
        <fgColor rgb="FF0000FF"/>
        <bgColor rgb="FF0000FF"/>
      </patternFill>
    </fill>
    <fill>
      <patternFill patternType="solid">
        <fgColor rgb="FFCCFFFF"/>
        <bgColor rgb="FFCCFFFF"/>
      </patternFill>
    </fill>
  </fills>
  <borders count="96">
    <border/>
    <border>
      <left/>
      <top/>
      <bottom/>
    </border>
    <border>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thin">
        <color rgb="FFFFFFFF"/>
      </bottom>
    </border>
    <border>
      <left style="thin">
        <color rgb="FF000000"/>
      </left>
      <right/>
      <bottom/>
    </border>
    <border>
      <left/>
      <right/>
      <bottom/>
    </border>
    <border>
      <left/>
      <right style="thin">
        <color rgb="FF000000"/>
      </right>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top/>
      <bottom/>
    </border>
    <border>
      <left style="thin">
        <color rgb="FF000000"/>
      </left>
      <right style="thin">
        <color rgb="FF000000"/>
      </right>
      <top style="thin">
        <color rgb="FF000000"/>
      </top>
    </border>
    <border>
      <top style="hair">
        <color rgb="FF000000"/>
      </top>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bottom style="thin">
        <color rgb="FF000000"/>
      </bottom>
    </border>
    <border>
      <left style="thin">
        <color rgb="FF000000"/>
      </left>
      <right style="thin">
        <color rgb="FF000000"/>
      </right>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right style="thin">
        <color rgb="FF000000"/>
      </right>
    </border>
    <border>
      <right style="thin">
        <color rgb="FF000000"/>
      </right>
      <bottom style="thin">
        <color rgb="FF000000"/>
      </bottom>
    </border>
    <border>
      <left style="thin">
        <color rgb="FF000000"/>
      </left>
      <right style="thin">
        <color rgb="FF000000"/>
      </right>
      <top/>
      <bottom/>
    </border>
    <border>
      <left style="thin">
        <color rgb="FF000000"/>
      </left>
      <right/>
      <top/>
      <bottom style="thin">
        <color rgb="FF000000"/>
      </bottom>
    </border>
    <border>
      <left style="medium">
        <color rgb="FF000000"/>
      </left>
      <right style="medium">
        <color rgb="FF000000"/>
      </right>
      <top style="medium">
        <color rgb="FF000000"/>
      </top>
      <bottom style="medium">
        <color rgb="FF000000"/>
      </bottom>
    </border>
    <border>
      <left style="thin">
        <color rgb="FF000000"/>
      </left>
      <right/>
      <top style="thin">
        <color rgb="FF000000"/>
      </top>
      <bottom style="double">
        <color rgb="FF000000"/>
      </bottom>
    </border>
    <border>
      <left style="thin">
        <color rgb="FF000000"/>
      </left>
      <right style="thin">
        <color rgb="FF000000"/>
      </right>
      <top style="thin">
        <color rgb="FF000000"/>
      </top>
      <bottom style="double">
        <color rgb="FF000000"/>
      </bottom>
    </border>
    <border>
      <left/>
      <right style="thin">
        <color rgb="FF000000"/>
      </right>
      <top style="thin">
        <color rgb="FF000000"/>
      </top>
      <bottom style="double">
        <color rgb="FF000000"/>
      </bottom>
    </border>
    <border>
      <left style="thin">
        <color rgb="FF000000"/>
      </left>
      <right style="thin">
        <color rgb="FF000000"/>
      </right>
      <top style="thin">
        <color rgb="FF000000"/>
      </top>
      <bottom/>
    </border>
    <border>
      <left style="thin">
        <color rgb="FF000000"/>
      </left>
      <top style="thin">
        <color rgb="FF000000"/>
      </top>
      <bottom style="medium">
        <color rgb="FF000000"/>
      </bottom>
    </border>
    <border>
      <left style="thin">
        <color rgb="FF000000"/>
      </left>
      <right style="thin">
        <color rgb="FF000000"/>
      </right>
      <top style="thin">
        <color rgb="FF000000"/>
      </top>
      <bottom style="medium">
        <color rgb="FF000000"/>
      </bottom>
    </border>
    <border>
      <right style="thin">
        <color rgb="FF000000"/>
      </right>
      <top style="thin">
        <color rgb="FF000000"/>
      </top>
      <bottom style="medium">
        <color rgb="FF000000"/>
      </bottom>
    </border>
    <border>
      <left style="thin">
        <color rgb="FF000000"/>
      </left>
      <bottom style="thin">
        <color rgb="FF000000"/>
      </bottom>
    </border>
    <border>
      <left/>
      <right/>
      <top/>
      <bottom style="thin">
        <color rgb="FF000000"/>
      </bottom>
    </border>
    <border>
      <top style="thin">
        <color rgb="FF000000"/>
      </top>
    </border>
    <border>
      <bottom style="thin">
        <color rgb="FF000000"/>
      </bottom>
    </border>
    <border>
      <left/>
      <right/>
      <top/>
      <bottom style="medium">
        <color rgb="FF000000"/>
      </bottom>
    </border>
    <border>
      <left style="thin">
        <color rgb="FF000000"/>
      </left>
    </border>
    <border>
      <left/>
      <right/>
      <top style="thin">
        <color rgb="FF000000"/>
      </top>
      <bottom style="thin">
        <color rgb="FF000000"/>
      </bottom>
    </border>
    <border>
      <left/>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right/>
      <top style="thin">
        <color rgb="FF000000"/>
      </top>
      <bottom style="medium">
        <color rgb="FF000000"/>
      </bottom>
    </border>
    <border>
      <left/>
      <right/>
      <top style="thin">
        <color rgb="FF000000"/>
      </top>
      <bottom style="medium">
        <color rgb="FF000000"/>
      </bottom>
    </border>
    <border>
      <left/>
      <right style="thin">
        <color rgb="FF000000"/>
      </right>
      <top style="thin">
        <color rgb="FF000000"/>
      </top>
      <bottom style="medium">
        <color rgb="FF000000"/>
      </bottom>
    </border>
    <border>
      <left/>
      <top/>
      <bottom style="double">
        <color rgb="FF000000"/>
      </bottom>
    </border>
    <border>
      <top/>
      <bottom style="double">
        <color rgb="FF000000"/>
      </bottom>
    </border>
    <border>
      <left style="medium">
        <color rgb="FF000000"/>
      </left>
      <top style="medium">
        <color rgb="FF000000"/>
      </top>
    </border>
    <border>
      <top style="medium">
        <color rgb="FF000000"/>
      </top>
    </border>
    <border>
      <left/>
      <right/>
      <top style="medium">
        <color rgb="FF000000"/>
      </top>
      <bottom/>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medium">
        <color rgb="FF000000"/>
      </top>
    </border>
    <border>
      <left style="medium">
        <color rgb="FF000000"/>
      </left>
      <right/>
      <top style="medium">
        <color rgb="FF000000"/>
      </top>
      <bottom/>
    </border>
    <border>
      <left/>
      <right style="medium">
        <color rgb="FF000000"/>
      </right>
      <top style="medium">
        <color rgb="FF000000"/>
      </top>
      <bottom/>
    </border>
    <border>
      <left style="medium">
        <color rgb="FF000000"/>
      </left>
      <right/>
      <top style="thin">
        <color rgb="FF000000"/>
      </top>
      <bottom style="thin">
        <color rgb="FF000000"/>
      </bottom>
    </border>
    <border>
      <left/>
      <right style="medium">
        <color rgb="FF000000"/>
      </right>
      <top style="thin">
        <color rgb="FF000000"/>
      </top>
      <bottom style="thin">
        <color rgb="FF000000"/>
      </bottom>
    </border>
    <border>
      <left style="thin">
        <color rgb="FF000000"/>
      </left>
      <right style="thin">
        <color rgb="FF000000"/>
      </right>
      <bottom style="medium">
        <color rgb="FF000000"/>
      </bottom>
    </border>
    <border>
      <left style="medium">
        <color rgb="FF000000"/>
      </left>
      <top style="thin">
        <color rgb="FF000000"/>
      </top>
      <bottom style="double">
        <color rgb="FF000000"/>
      </bottom>
    </border>
    <border>
      <top style="thin">
        <color rgb="FF000000"/>
      </top>
      <bottom style="double">
        <color rgb="FF000000"/>
      </bottom>
    </border>
    <border>
      <right style="medium">
        <color rgb="FF000000"/>
      </right>
      <top style="thin">
        <color rgb="FF000000"/>
      </top>
      <bottom style="double">
        <color rgb="FF000000"/>
      </bottom>
    </border>
    <border>
      <left style="medium">
        <color rgb="FF000000"/>
      </left>
      <right/>
      <top style="thin">
        <color rgb="FF000000"/>
      </top>
      <bottom style="double">
        <color rgb="FF000000"/>
      </bottom>
    </border>
    <border>
      <left/>
      <right/>
      <top style="thin">
        <color rgb="FF000000"/>
      </top>
      <bottom style="double">
        <color rgb="FF000000"/>
      </bottom>
    </border>
    <border>
      <left/>
      <right style="medium">
        <color rgb="FF000000"/>
      </right>
      <top style="thin">
        <color rgb="FF000000"/>
      </top>
      <bottom style="double">
        <color rgb="FF000000"/>
      </bottom>
    </border>
    <border>
      <top style="double">
        <color rgb="FF000000"/>
      </top>
    </border>
    <border>
      <left style="medium">
        <color rgb="FF000000"/>
      </left>
      <right/>
      <top style="medium">
        <color rgb="FF000000"/>
      </top>
      <bottom style="thin">
        <color rgb="FF000000"/>
      </bottom>
    </border>
    <border>
      <left/>
      <right/>
      <top style="medium">
        <color rgb="FF000000"/>
      </top>
      <bottom style="thin">
        <color rgb="FF000000"/>
      </bottom>
    </border>
    <border>
      <left/>
      <right style="medium">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ttom/>
    </border>
    <border>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right/>
      <top style="medium">
        <color rgb="FF000000"/>
      </top>
      <bottom style="medium">
        <color rgb="FF000000"/>
      </bottom>
    </border>
    <border>
      <left/>
      <right/>
      <top/>
    </border>
    <border>
      <left/>
      <top/>
    </border>
    <border>
      <top/>
    </border>
    <border>
      <left/>
      <right/>
    </border>
    <border>
      <left/>
    </border>
  </borders>
  <cellStyleXfs count="1">
    <xf borderId="0" fillId="0" fontId="0" numFmtId="0" applyAlignment="1" applyFont="1"/>
  </cellStyleXfs>
  <cellXfs count="528">
    <xf borderId="0" fillId="0" fontId="0" numFmtId="0" xfId="0" applyAlignment="1" applyFont="1">
      <alignment readingOrder="0" shrinkToFit="0" vertical="bottom" wrapText="0"/>
    </xf>
    <xf borderId="0" fillId="0" fontId="1" numFmtId="0" xfId="0" applyFont="1"/>
    <xf borderId="0" fillId="0" fontId="1" numFmtId="0" xfId="0" applyAlignment="1" applyFont="1">
      <alignment vertical="center"/>
    </xf>
    <xf borderId="0" fillId="2" fontId="2" numFmtId="0" xfId="0" applyAlignment="1" applyFill="1" applyFont="1">
      <alignment horizontal="center" readingOrder="0" vertical="center"/>
    </xf>
    <xf borderId="1" fillId="2" fontId="3" numFmtId="0" xfId="0" applyAlignment="1" applyBorder="1" applyFont="1">
      <alignment horizontal="center"/>
    </xf>
    <xf borderId="2" fillId="0" fontId="4" numFmtId="0" xfId="0" applyBorder="1" applyFont="1"/>
    <xf borderId="3" fillId="3" fontId="5" numFmtId="0" xfId="0" applyAlignment="1" applyBorder="1" applyFill="1" applyFont="1">
      <alignment vertical="center"/>
    </xf>
    <xf borderId="4" fillId="3" fontId="5" numFmtId="0" xfId="0" applyAlignment="1" applyBorder="1" applyFont="1">
      <alignment horizontal="left"/>
    </xf>
    <xf borderId="5" fillId="0" fontId="4" numFmtId="0" xfId="0" applyBorder="1" applyFont="1"/>
    <xf borderId="6" fillId="0" fontId="4" numFmtId="0" xfId="0" applyBorder="1" applyFont="1"/>
    <xf borderId="3" fillId="3" fontId="6" numFmtId="0" xfId="0" applyAlignment="1" applyBorder="1" applyFont="1">
      <alignment vertical="center"/>
    </xf>
    <xf borderId="4" fillId="3" fontId="7" numFmtId="0" xfId="0" applyAlignment="1" applyBorder="1" applyFont="1">
      <alignment horizontal="left" vertical="center"/>
    </xf>
    <xf borderId="4" fillId="3" fontId="7" numFmtId="0" xfId="0" applyAlignment="1" applyBorder="1" applyFont="1">
      <alignment horizontal="left" shrinkToFit="0" vertical="center" wrapText="1"/>
    </xf>
    <xf borderId="4" fillId="3" fontId="6" numFmtId="0" xfId="0" applyAlignment="1" applyBorder="1" applyFont="1">
      <alignment horizontal="left" shrinkToFit="0" vertical="center" wrapText="1"/>
    </xf>
    <xf borderId="4" fillId="3" fontId="6" numFmtId="0" xfId="0" applyAlignment="1" applyBorder="1" applyFont="1">
      <alignment horizontal="left" vertical="center"/>
    </xf>
    <xf borderId="0" fillId="0" fontId="8" numFmtId="0" xfId="0" applyAlignment="1" applyFont="1">
      <alignment vertical="center"/>
    </xf>
    <xf borderId="1" fillId="4" fontId="9" numFmtId="0" xfId="0" applyAlignment="1" applyBorder="1" applyFill="1" applyFont="1">
      <alignment horizontal="left" vertical="center"/>
    </xf>
    <xf borderId="0" fillId="0" fontId="1" numFmtId="0" xfId="0" applyAlignment="1" applyFont="1">
      <alignment horizontal="left" shrinkToFit="0" vertical="center" wrapText="1"/>
    </xf>
    <xf borderId="7" fillId="0" fontId="4" numFmtId="0" xfId="0" applyBorder="1" applyFont="1"/>
    <xf borderId="7" fillId="2" fontId="10" numFmtId="0" xfId="0" applyAlignment="1" applyBorder="1" applyFont="1">
      <alignment horizontal="center" vertical="center"/>
    </xf>
    <xf borderId="8" fillId="2" fontId="11" numFmtId="0" xfId="0" applyAlignment="1" applyBorder="1" applyFont="1">
      <alignment vertical="bottom"/>
    </xf>
    <xf borderId="9" fillId="2" fontId="12" numFmtId="0" xfId="0" applyBorder="1" applyFont="1"/>
    <xf borderId="10" fillId="2" fontId="12" numFmtId="0" xfId="0" applyBorder="1" applyFont="1"/>
    <xf borderId="3" fillId="0" fontId="13" numFmtId="164" xfId="0" applyAlignment="1" applyBorder="1" applyFont="1" applyNumberFormat="1">
      <alignment horizontal="left"/>
    </xf>
    <xf borderId="3" fillId="5" fontId="13" numFmtId="3" xfId="0" applyAlignment="1" applyBorder="1" applyFill="1" applyFont="1" applyNumberFormat="1">
      <alignment horizontal="center"/>
    </xf>
    <xf borderId="3" fillId="0" fontId="13" numFmtId="3" xfId="0" applyAlignment="1" applyBorder="1" applyFont="1" applyNumberFormat="1">
      <alignment horizontal="center"/>
    </xf>
    <xf borderId="3" fillId="5" fontId="13" numFmtId="0" xfId="0" applyAlignment="1" applyBorder="1" applyFont="1">
      <alignment horizontal="center"/>
    </xf>
    <xf borderId="0" fillId="0" fontId="13" numFmtId="0" xfId="0" applyFont="1"/>
    <xf borderId="11" fillId="2" fontId="12" numFmtId="0" xfId="0" applyBorder="1" applyFont="1"/>
    <xf borderId="12" fillId="2" fontId="12" numFmtId="0" xfId="0" applyBorder="1" applyFont="1"/>
    <xf borderId="13" fillId="2" fontId="12" numFmtId="0" xfId="0" applyBorder="1" applyFont="1"/>
    <xf borderId="3" fillId="5" fontId="13" numFmtId="164" xfId="0" applyAlignment="1" applyBorder="1" applyFont="1" applyNumberFormat="1">
      <alignment horizontal="left"/>
    </xf>
    <xf borderId="3" fillId="5" fontId="13" numFmtId="165" xfId="0" applyAlignment="1" applyBorder="1" applyFont="1" applyNumberFormat="1">
      <alignment horizontal="center" vertical="center"/>
    </xf>
    <xf borderId="3" fillId="5" fontId="13" numFmtId="10" xfId="0" applyAlignment="1" applyBorder="1" applyFont="1" applyNumberFormat="1">
      <alignment horizontal="center"/>
    </xf>
    <xf borderId="3" fillId="5" fontId="13" numFmtId="166" xfId="0" applyAlignment="1" applyBorder="1" applyFont="1" applyNumberFormat="1">
      <alignment horizontal="center"/>
    </xf>
    <xf borderId="3" fillId="5" fontId="13" numFmtId="9" xfId="0" applyAlignment="1" applyBorder="1" applyFont="1" applyNumberFormat="1">
      <alignment horizontal="center"/>
    </xf>
    <xf borderId="3" fillId="5" fontId="14" numFmtId="0" xfId="0" applyBorder="1" applyFont="1"/>
    <xf borderId="3" fillId="5" fontId="14" numFmtId="165" xfId="0" applyAlignment="1" applyBorder="1" applyFont="1" applyNumberFormat="1">
      <alignment horizontal="center"/>
    </xf>
    <xf borderId="0" fillId="0" fontId="15" numFmtId="0" xfId="0" applyFont="1"/>
    <xf borderId="3" fillId="0" fontId="13" numFmtId="0" xfId="0" applyBorder="1" applyFont="1"/>
    <xf borderId="3" fillId="0" fontId="13" numFmtId="164" xfId="0" applyAlignment="1" applyBorder="1" applyFont="1" applyNumberFormat="1">
      <alignment horizontal="center" vertical="center"/>
    </xf>
    <xf borderId="3" fillId="0" fontId="13" numFmtId="164" xfId="0" applyAlignment="1" applyBorder="1" applyFont="1" applyNumberFormat="1">
      <alignment horizontal="center"/>
    </xf>
    <xf borderId="3" fillId="0" fontId="13" numFmtId="10" xfId="0" applyAlignment="1" applyBorder="1" applyFont="1" applyNumberFormat="1">
      <alignment horizontal="center"/>
    </xf>
    <xf borderId="14" fillId="2" fontId="12" numFmtId="0" xfId="0" applyBorder="1" applyFont="1"/>
    <xf borderId="15" fillId="2" fontId="12" numFmtId="0" xfId="0" applyBorder="1" applyFont="1"/>
    <xf borderId="3" fillId="0" fontId="13" numFmtId="165" xfId="0" applyAlignment="1" applyBorder="1" applyFont="1" applyNumberFormat="1">
      <alignment horizontal="center"/>
    </xf>
    <xf borderId="16" fillId="0" fontId="14" numFmtId="0" xfId="0" applyBorder="1" applyFont="1"/>
    <xf borderId="16" fillId="0" fontId="14" numFmtId="10" xfId="0" applyAlignment="1" applyBorder="1" applyFont="1" applyNumberFormat="1">
      <alignment horizontal="center"/>
    </xf>
    <xf borderId="3" fillId="0" fontId="14" numFmtId="0" xfId="0" applyBorder="1" applyFont="1"/>
    <xf borderId="3" fillId="0" fontId="14" numFmtId="10" xfId="0" applyAlignment="1" applyBorder="1" applyFont="1" applyNumberFormat="1">
      <alignment horizontal="center"/>
    </xf>
    <xf borderId="3" fillId="0" fontId="15" numFmtId="4" xfId="0" applyAlignment="1" applyBorder="1" applyFont="1" applyNumberFormat="1">
      <alignment horizontal="center" vertical="center"/>
    </xf>
    <xf borderId="0" fillId="0" fontId="15" numFmtId="0" xfId="0" applyAlignment="1" applyFont="1">
      <alignment shrinkToFit="0" vertical="center" wrapText="1"/>
    </xf>
    <xf borderId="3" fillId="0" fontId="13" numFmtId="167" xfId="0" applyAlignment="1" applyBorder="1" applyFont="1" applyNumberFormat="1">
      <alignment horizontal="center"/>
    </xf>
    <xf borderId="17" fillId="0" fontId="16" numFmtId="0" xfId="0" applyAlignment="1" applyBorder="1" applyFont="1">
      <alignment shrinkToFit="0" vertical="center" wrapText="1"/>
    </xf>
    <xf borderId="3" fillId="0" fontId="15" numFmtId="0" xfId="0" applyBorder="1" applyFont="1"/>
    <xf borderId="3" fillId="5" fontId="15" numFmtId="9" xfId="0" applyAlignment="1" applyBorder="1" applyFont="1" applyNumberFormat="1">
      <alignment horizontal="center"/>
    </xf>
    <xf borderId="3" fillId="5" fontId="15" numFmtId="168" xfId="0" applyAlignment="1" applyBorder="1" applyFont="1" applyNumberFormat="1">
      <alignment horizontal="center"/>
    </xf>
    <xf borderId="4" fillId="0" fontId="13" numFmtId="49" xfId="0" applyAlignment="1" applyBorder="1" applyFont="1" applyNumberFormat="1">
      <alignment vertical="top"/>
    </xf>
    <xf borderId="3" fillId="5" fontId="15" numFmtId="0" xfId="0" applyBorder="1" applyFont="1"/>
    <xf borderId="18" fillId="5" fontId="13" numFmtId="10" xfId="0" applyAlignment="1" applyBorder="1" applyFont="1" applyNumberFormat="1">
      <alignment horizontal="center" vertical="top"/>
    </xf>
    <xf borderId="18" fillId="5" fontId="13" numFmtId="1" xfId="0" applyAlignment="1" applyBorder="1" applyFont="1" applyNumberFormat="1">
      <alignment horizontal="center" vertical="top"/>
    </xf>
    <xf borderId="6" fillId="5" fontId="13" numFmtId="166" xfId="0" applyAlignment="1" applyBorder="1" applyFont="1" applyNumberFormat="1">
      <alignment horizontal="right" vertical="top"/>
    </xf>
    <xf borderId="6" fillId="5" fontId="13" numFmtId="169" xfId="0" applyAlignment="1" applyBorder="1" applyFont="1" applyNumberFormat="1">
      <alignment horizontal="right" vertical="top"/>
    </xf>
    <xf borderId="4" fillId="0" fontId="14" numFmtId="49" xfId="0" applyAlignment="1" applyBorder="1" applyFont="1" applyNumberFormat="1">
      <alignment vertical="top"/>
    </xf>
    <xf borderId="6" fillId="5" fontId="14" numFmtId="169" xfId="0" applyAlignment="1" applyBorder="1" applyFont="1" applyNumberFormat="1">
      <alignment horizontal="right" vertical="top"/>
    </xf>
    <xf borderId="0" fillId="0" fontId="17" numFmtId="0" xfId="0" applyFont="1"/>
    <xf borderId="0" fillId="0" fontId="15" numFmtId="0" xfId="0" applyAlignment="1" applyFont="1">
      <alignment horizontal="center" shrinkToFit="0" vertical="center" wrapText="1"/>
    </xf>
    <xf borderId="0" fillId="0" fontId="15" numFmtId="0" xfId="0" applyAlignment="1" applyFont="1">
      <alignment horizontal="center" vertical="center"/>
    </xf>
    <xf borderId="3" fillId="2" fontId="12" numFmtId="0" xfId="0" applyAlignment="1" applyBorder="1" applyFont="1">
      <alignment horizontal="center" shrinkToFit="0" vertical="center" wrapText="1"/>
    </xf>
    <xf borderId="4" fillId="2" fontId="12" numFmtId="0" xfId="0" applyAlignment="1" applyBorder="1" applyFont="1">
      <alignment horizontal="center" shrinkToFit="0" vertical="center" wrapText="1"/>
    </xf>
    <xf borderId="19" fillId="5" fontId="15" numFmtId="0" xfId="0" applyAlignment="1" applyBorder="1" applyFont="1">
      <alignment horizontal="center"/>
    </xf>
    <xf borderId="19" fillId="5" fontId="15" numFmtId="166" xfId="0" applyBorder="1" applyFont="1" applyNumberFormat="1"/>
    <xf borderId="3" fillId="5" fontId="15" numFmtId="166" xfId="0" applyBorder="1" applyFont="1" applyNumberFormat="1"/>
    <xf borderId="20" fillId="5" fontId="15" numFmtId="167" xfId="0" applyAlignment="1" applyBorder="1" applyFont="1" applyNumberFormat="1">
      <alignment horizontal="center"/>
    </xf>
    <xf borderId="21" fillId="5" fontId="15" numFmtId="10" xfId="0" applyAlignment="1" applyBorder="1" applyFont="1" applyNumberFormat="1">
      <alignment horizontal="center" shrinkToFit="0" vertical="center" wrapText="1"/>
    </xf>
    <xf borderId="3" fillId="5" fontId="15" numFmtId="166" xfId="0" applyAlignment="1" applyBorder="1" applyFont="1" applyNumberFormat="1">
      <alignment horizontal="center"/>
    </xf>
    <xf borderId="3" fillId="0" fontId="15" numFmtId="166" xfId="0" applyAlignment="1" applyBorder="1" applyFont="1" applyNumberFormat="1">
      <alignment horizontal="center"/>
    </xf>
    <xf borderId="3" fillId="5" fontId="15" numFmtId="0" xfId="0" applyAlignment="1" applyBorder="1" applyFont="1">
      <alignment horizontal="center"/>
    </xf>
    <xf borderId="0" fillId="0" fontId="17" numFmtId="0" xfId="0" applyAlignment="1" applyFont="1">
      <alignment horizontal="center"/>
    </xf>
    <xf borderId="0" fillId="0" fontId="14" numFmtId="166" xfId="0" applyFont="1" applyNumberFormat="1"/>
    <xf borderId="0" fillId="0" fontId="17" numFmtId="166" xfId="0" applyAlignment="1" applyFont="1" applyNumberFormat="1">
      <alignment horizontal="right"/>
    </xf>
    <xf borderId="0" fillId="0" fontId="17" numFmtId="166" xfId="0" applyFont="1" applyNumberFormat="1"/>
    <xf borderId="0" fillId="0" fontId="17" numFmtId="166" xfId="0" applyAlignment="1" applyFont="1" applyNumberFormat="1">
      <alignment horizontal="center"/>
    </xf>
    <xf borderId="0" fillId="0" fontId="15" numFmtId="166" xfId="0" applyFont="1" applyNumberFormat="1"/>
    <xf borderId="3" fillId="5" fontId="15" numFmtId="0" xfId="0" applyAlignment="1" applyBorder="1" applyFont="1">
      <alignment horizontal="center" shrinkToFit="0" vertical="center" wrapText="1"/>
    </xf>
    <xf borderId="3" fillId="5" fontId="15" numFmtId="166" xfId="0" applyAlignment="1" applyBorder="1" applyFont="1" applyNumberFormat="1">
      <alignment horizontal="center" shrinkToFit="0" vertical="center" wrapText="1"/>
    </xf>
    <xf borderId="0" fillId="0" fontId="15" numFmtId="166" xfId="0" applyAlignment="1" applyFont="1" applyNumberFormat="1">
      <alignment horizontal="center" shrinkToFit="0" vertical="center" wrapText="1"/>
    </xf>
    <xf borderId="3" fillId="5" fontId="17" numFmtId="0" xfId="0" applyAlignment="1" applyBorder="1" applyFont="1">
      <alignment horizontal="center"/>
    </xf>
    <xf borderId="3" fillId="5" fontId="17" numFmtId="166" xfId="0" applyAlignment="1" applyBorder="1" applyFont="1" applyNumberFormat="1">
      <alignment horizontal="center"/>
    </xf>
    <xf borderId="0" fillId="0" fontId="18" numFmtId="0" xfId="0" applyAlignment="1" applyFont="1">
      <alignment shrinkToFit="0" vertical="center" wrapText="1"/>
    </xf>
    <xf borderId="22" fillId="2" fontId="12" numFmtId="0" xfId="0" applyAlignment="1" applyBorder="1" applyFont="1">
      <alignment horizontal="center" vertical="center"/>
    </xf>
    <xf borderId="23" fillId="0" fontId="4" numFmtId="0" xfId="0" applyBorder="1" applyFont="1"/>
    <xf borderId="24" fillId="0" fontId="4" numFmtId="0" xfId="0" applyBorder="1" applyFont="1"/>
    <xf borderId="3" fillId="5" fontId="14" numFmtId="170" xfId="0" applyAlignment="1" applyBorder="1" applyFont="1" applyNumberFormat="1">
      <alignment horizontal="center" vertical="center"/>
    </xf>
    <xf borderId="25" fillId="5" fontId="14" numFmtId="170" xfId="0" applyAlignment="1" applyBorder="1" applyFont="1" applyNumberFormat="1">
      <alignment horizontal="center" vertical="center"/>
    </xf>
    <xf borderId="19" fillId="5" fontId="14" numFmtId="170" xfId="0" applyAlignment="1" applyBorder="1" applyFont="1" applyNumberFormat="1">
      <alignment horizontal="center" vertical="center"/>
    </xf>
    <xf borderId="21" fillId="5" fontId="13" numFmtId="164" xfId="0" applyBorder="1" applyFont="1" applyNumberFormat="1"/>
    <xf borderId="26" fillId="0" fontId="15" numFmtId="0" xfId="0" applyBorder="1" applyFont="1"/>
    <xf borderId="3" fillId="5" fontId="13" numFmtId="165" xfId="0" applyAlignment="1" applyBorder="1" applyFont="1" applyNumberFormat="1">
      <alignment horizontal="center"/>
    </xf>
    <xf borderId="26" fillId="0" fontId="17" numFmtId="0" xfId="0" applyBorder="1" applyFont="1"/>
    <xf borderId="3" fillId="6" fontId="15" numFmtId="0" xfId="0" applyAlignment="1" applyBorder="1" applyFill="1" applyFont="1">
      <alignment horizontal="center"/>
    </xf>
    <xf borderId="3" fillId="6" fontId="15" numFmtId="168" xfId="0" applyBorder="1" applyFont="1" applyNumberFormat="1"/>
    <xf borderId="0" fillId="0" fontId="15" numFmtId="168" xfId="0" applyFont="1" applyNumberFormat="1"/>
    <xf borderId="15" fillId="5" fontId="19" numFmtId="164" xfId="0" applyBorder="1" applyFont="1" applyNumberFormat="1"/>
    <xf borderId="15" fillId="5" fontId="19" numFmtId="164" xfId="0" applyAlignment="1" applyBorder="1" applyFont="1" applyNumberFormat="1">
      <alignment horizontal="center"/>
    </xf>
    <xf borderId="0" fillId="0" fontId="1" numFmtId="0" xfId="0" applyAlignment="1" applyFont="1">
      <alignment horizontal="center"/>
    </xf>
    <xf borderId="27" fillId="2" fontId="12" numFmtId="0" xfId="0" applyAlignment="1" applyBorder="1" applyFont="1">
      <alignment horizontal="center" vertical="center"/>
    </xf>
    <xf borderId="28" fillId="2" fontId="12" numFmtId="0" xfId="0" applyAlignment="1" applyBorder="1" applyFont="1">
      <alignment horizontal="center" vertical="center"/>
    </xf>
    <xf borderId="26" fillId="0" fontId="1" numFmtId="0" xfId="0" applyBorder="1" applyFont="1"/>
    <xf borderId="29" fillId="0" fontId="1" numFmtId="0" xfId="0" applyAlignment="1" applyBorder="1" applyFont="1">
      <alignment horizontal="center"/>
    </xf>
    <xf borderId="25" fillId="5" fontId="20" numFmtId="170" xfId="0" applyAlignment="1" applyBorder="1" applyFont="1" applyNumberFormat="1">
      <alignment horizontal="center" vertical="center"/>
    </xf>
    <xf borderId="19" fillId="5" fontId="20" numFmtId="170" xfId="0" applyAlignment="1" applyBorder="1" applyFont="1" applyNumberFormat="1">
      <alignment horizontal="center" vertical="center"/>
    </xf>
    <xf borderId="21" fillId="5" fontId="21" numFmtId="164" xfId="0" applyAlignment="1" applyBorder="1" applyFont="1" applyNumberFormat="1">
      <alignment horizontal="left"/>
    </xf>
    <xf borderId="26" fillId="5" fontId="8" numFmtId="0" xfId="0" applyAlignment="1" applyBorder="1" applyFont="1">
      <alignment horizontal="center" shrinkToFit="0" wrapText="1"/>
    </xf>
    <xf borderId="30" fillId="5" fontId="1" numFmtId="0" xfId="0" applyAlignment="1" applyBorder="1" applyFont="1">
      <alignment horizontal="center"/>
    </xf>
    <xf borderId="30" fillId="5" fontId="1" numFmtId="10" xfId="0" applyAlignment="1" applyBorder="1" applyFont="1" applyNumberFormat="1">
      <alignment horizontal="center"/>
    </xf>
    <xf borderId="31" fillId="5" fontId="22" numFmtId="167" xfId="0" applyAlignment="1" applyBorder="1" applyFont="1" applyNumberFormat="1">
      <alignment horizontal="center" vertical="center"/>
    </xf>
    <xf borderId="21" fillId="5" fontId="22" numFmtId="164" xfId="0" applyBorder="1" applyFont="1" applyNumberFormat="1"/>
    <xf borderId="26" fillId="0" fontId="4" numFmtId="0" xfId="0" applyBorder="1" applyFont="1"/>
    <xf borderId="18" fillId="5" fontId="22" numFmtId="165" xfId="0" applyAlignment="1" applyBorder="1" applyFont="1" applyNumberFormat="1">
      <alignment horizontal="center" vertical="center"/>
    </xf>
    <xf borderId="3" fillId="5" fontId="22" numFmtId="165" xfId="0" applyAlignment="1" applyBorder="1" applyFont="1" applyNumberFormat="1">
      <alignment horizontal="center" vertical="center"/>
    </xf>
    <xf borderId="32" fillId="5" fontId="22" numFmtId="164" xfId="0" applyBorder="1" applyFont="1" applyNumberFormat="1"/>
    <xf borderId="26" fillId="5" fontId="22" numFmtId="0" xfId="0" applyBorder="1" applyFont="1"/>
    <xf borderId="25" fillId="5" fontId="22" numFmtId="165" xfId="0" applyAlignment="1" applyBorder="1" applyFont="1" applyNumberFormat="1">
      <alignment horizontal="center" vertical="center"/>
    </xf>
    <xf borderId="19" fillId="5" fontId="22" numFmtId="165" xfId="0" applyAlignment="1" applyBorder="1" applyFont="1" applyNumberFormat="1">
      <alignment horizontal="center" vertical="center"/>
    </xf>
    <xf borderId="21" fillId="6" fontId="22" numFmtId="164" xfId="0" applyBorder="1" applyFont="1" applyNumberFormat="1"/>
    <xf borderId="26" fillId="5" fontId="1" numFmtId="0" xfId="0" applyBorder="1" applyFont="1"/>
    <xf borderId="25" fillId="5" fontId="22" numFmtId="10" xfId="0" applyAlignment="1" applyBorder="1" applyFont="1" applyNumberFormat="1">
      <alignment horizontal="center" vertical="center"/>
    </xf>
    <xf borderId="19" fillId="5" fontId="22" numFmtId="10" xfId="0" applyAlignment="1" applyBorder="1" applyFont="1" applyNumberFormat="1">
      <alignment horizontal="center" vertical="center"/>
    </xf>
    <xf borderId="20" fillId="5" fontId="1" numFmtId="0" xfId="0" applyBorder="1" applyFont="1"/>
    <xf borderId="21" fillId="5" fontId="22" numFmtId="171" xfId="0" applyBorder="1" applyFont="1" applyNumberFormat="1"/>
    <xf borderId="25" fillId="5" fontId="22" numFmtId="166" xfId="0" applyAlignment="1" applyBorder="1" applyFont="1" applyNumberFormat="1">
      <alignment horizontal="center" vertical="center"/>
    </xf>
    <xf borderId="32" fillId="5" fontId="20" numFmtId="164" xfId="0" applyBorder="1" applyFont="1" applyNumberFormat="1"/>
    <xf borderId="18" fillId="5" fontId="20" numFmtId="165" xfId="0" applyAlignment="1" applyBorder="1" applyFont="1" applyNumberFormat="1">
      <alignment horizontal="center" vertical="center"/>
    </xf>
    <xf borderId="15" fillId="5" fontId="22" numFmtId="164" xfId="0" applyAlignment="1" applyBorder="1" applyFont="1" applyNumberFormat="1">
      <alignment horizontal="center"/>
    </xf>
    <xf borderId="33" fillId="2" fontId="12" numFmtId="0" xfId="0" applyAlignment="1" applyBorder="1" applyFont="1">
      <alignment horizontal="center" vertical="center"/>
    </xf>
    <xf borderId="20" fillId="5" fontId="1" numFmtId="170" xfId="0" applyAlignment="1" applyBorder="1" applyFont="1" applyNumberFormat="1">
      <alignment horizontal="center" vertical="center"/>
    </xf>
    <xf borderId="3" fillId="5" fontId="21" numFmtId="164" xfId="0" applyAlignment="1" applyBorder="1" applyFont="1" applyNumberFormat="1">
      <alignment horizontal="center"/>
    </xf>
    <xf borderId="3" fillId="5" fontId="1" numFmtId="0" xfId="0" applyAlignment="1" applyBorder="1" applyFont="1">
      <alignment horizontal="center" vertical="center"/>
    </xf>
    <xf borderId="25" fillId="5" fontId="20" numFmtId="164" xfId="0" applyAlignment="1" applyBorder="1" applyFont="1" applyNumberFormat="1">
      <alignment horizontal="center" vertical="center"/>
    </xf>
    <xf borderId="19" fillId="5" fontId="22" numFmtId="164" xfId="0" applyBorder="1" applyFont="1" applyNumberFormat="1"/>
    <xf borderId="19" fillId="5" fontId="22" numFmtId="165" xfId="0" applyAlignment="1" applyBorder="1" applyFont="1" applyNumberFormat="1">
      <alignment horizontal="center"/>
    </xf>
    <xf borderId="3" fillId="5" fontId="22" numFmtId="165" xfId="0" applyAlignment="1" applyBorder="1" applyFont="1" applyNumberFormat="1">
      <alignment horizontal="center"/>
    </xf>
    <xf borderId="31" fillId="5" fontId="22" numFmtId="165" xfId="0" applyAlignment="1" applyBorder="1" applyFont="1" applyNumberFormat="1">
      <alignment horizontal="center"/>
    </xf>
    <xf borderId="3" fillId="5" fontId="22" numFmtId="10" xfId="0" applyAlignment="1" applyBorder="1" applyFont="1" applyNumberFormat="1">
      <alignment horizontal="center" vertical="center"/>
    </xf>
    <xf borderId="18" fillId="5" fontId="22" numFmtId="165" xfId="0" applyAlignment="1" applyBorder="1" applyFont="1" applyNumberFormat="1">
      <alignment horizontal="center"/>
    </xf>
    <xf borderId="25" fillId="5" fontId="22" numFmtId="165" xfId="0" applyAlignment="1" applyBorder="1" applyFont="1" applyNumberFormat="1">
      <alignment horizontal="center"/>
    </xf>
    <xf borderId="11" fillId="5" fontId="20" numFmtId="164" xfId="0" applyBorder="1" applyFont="1" applyNumberFormat="1"/>
    <xf borderId="13" fillId="5" fontId="20" numFmtId="165" xfId="0" applyAlignment="1" applyBorder="1" applyFont="1" applyNumberFormat="1">
      <alignment horizontal="center"/>
    </xf>
    <xf borderId="34" fillId="5" fontId="20" numFmtId="164" xfId="0" applyBorder="1" applyFont="1" applyNumberFormat="1"/>
    <xf borderId="35" fillId="5" fontId="1" numFmtId="0" xfId="0" applyBorder="1" applyFont="1"/>
    <xf borderId="36" fillId="5" fontId="20" numFmtId="165" xfId="0" applyAlignment="1" applyBorder="1" applyFont="1" applyNumberFormat="1">
      <alignment horizontal="center"/>
    </xf>
    <xf borderId="35" fillId="5" fontId="20" numFmtId="165" xfId="0" applyAlignment="1" applyBorder="1" applyFont="1" applyNumberFormat="1">
      <alignment horizontal="center"/>
    </xf>
    <xf borderId="25" fillId="5" fontId="20" numFmtId="165" xfId="0" applyAlignment="1" applyBorder="1" applyFont="1" applyNumberFormat="1">
      <alignment horizontal="center"/>
    </xf>
    <xf borderId="18" fillId="5" fontId="20" numFmtId="165" xfId="0" applyAlignment="1" applyBorder="1" applyFont="1" applyNumberFormat="1">
      <alignment horizontal="center"/>
    </xf>
    <xf borderId="21" fillId="5" fontId="20" numFmtId="164" xfId="0" applyBorder="1" applyFont="1" applyNumberFormat="1"/>
    <xf borderId="26" fillId="5" fontId="8" numFmtId="0" xfId="0" applyBorder="1" applyFont="1"/>
    <xf borderId="3" fillId="5" fontId="20" numFmtId="165" xfId="0" applyAlignment="1" applyBorder="1" applyFont="1" applyNumberFormat="1">
      <alignment horizontal="center"/>
    </xf>
    <xf borderId="4" fillId="5" fontId="20" numFmtId="0" xfId="0" applyBorder="1" applyFont="1"/>
    <xf borderId="6" fillId="5" fontId="8" numFmtId="165" xfId="0" applyAlignment="1" applyBorder="1" applyFont="1" applyNumberFormat="1">
      <alignment horizontal="center"/>
    </xf>
    <xf borderId="3" fillId="5" fontId="8" numFmtId="165" xfId="0" applyAlignment="1" applyBorder="1" applyFont="1" applyNumberFormat="1">
      <alignment horizontal="center"/>
    </xf>
    <xf borderId="0" fillId="0" fontId="1" numFmtId="165" xfId="0" applyFont="1" applyNumberFormat="1"/>
    <xf borderId="14" fillId="5" fontId="22" numFmtId="164" xfId="0" applyBorder="1" applyFont="1" applyNumberFormat="1"/>
    <xf borderId="37" fillId="5" fontId="22" numFmtId="165" xfId="0" applyAlignment="1" applyBorder="1" applyFont="1" applyNumberFormat="1">
      <alignment horizontal="center"/>
    </xf>
    <xf borderId="13" fillId="5" fontId="22" numFmtId="165" xfId="0" applyAlignment="1" applyBorder="1" applyFont="1" applyNumberFormat="1">
      <alignment horizontal="center"/>
    </xf>
    <xf borderId="38" fillId="5" fontId="20" numFmtId="0" xfId="0" applyBorder="1" applyFont="1"/>
    <xf borderId="39" fillId="5" fontId="1" numFmtId="0" xfId="0" applyBorder="1" applyFont="1"/>
    <xf borderId="40" fillId="5" fontId="8" numFmtId="165" xfId="0" applyAlignment="1" applyBorder="1" applyFont="1" applyNumberFormat="1">
      <alignment horizontal="center"/>
    </xf>
    <xf borderId="39" fillId="5" fontId="8" numFmtId="165" xfId="0" applyAlignment="1" applyBorder="1" applyFont="1" applyNumberFormat="1">
      <alignment horizontal="center"/>
    </xf>
    <xf borderId="41" fillId="5" fontId="20" numFmtId="0" xfId="0" applyBorder="1" applyFont="1"/>
    <xf borderId="30" fillId="5" fontId="8" numFmtId="10" xfId="0" applyAlignment="1" applyBorder="1" applyFont="1" applyNumberFormat="1">
      <alignment horizontal="center"/>
    </xf>
    <xf borderId="15" fillId="5" fontId="1" numFmtId="166" xfId="0" applyBorder="1" applyFont="1" applyNumberFormat="1"/>
    <xf borderId="0" fillId="0" fontId="23" numFmtId="172" xfId="0" applyAlignment="1" applyFont="1" applyNumberFormat="1">
      <alignment horizontal="left"/>
    </xf>
    <xf borderId="0" fillId="0" fontId="8" numFmtId="0" xfId="0" applyAlignment="1" applyFont="1">
      <alignment shrinkToFit="0" wrapText="1"/>
    </xf>
    <xf borderId="5" fillId="0" fontId="1" numFmtId="0" xfId="0" applyBorder="1" applyFont="1"/>
    <xf borderId="5" fillId="0" fontId="1" numFmtId="165" xfId="0" applyAlignment="1" applyBorder="1" applyFont="1" applyNumberFormat="1">
      <alignment horizontal="center"/>
    </xf>
    <xf borderId="0" fillId="0" fontId="1" numFmtId="169" xfId="0" applyFont="1" applyNumberFormat="1"/>
    <xf borderId="0" fillId="0" fontId="1" numFmtId="165" xfId="0" applyAlignment="1" applyFont="1" applyNumberFormat="1">
      <alignment horizontal="center"/>
    </xf>
    <xf borderId="0" fillId="0" fontId="24" numFmtId="169" xfId="0" applyFont="1" applyNumberFormat="1"/>
    <xf borderId="0" fillId="0" fontId="24" numFmtId="0" xfId="0" applyFont="1"/>
    <xf borderId="0" fillId="0" fontId="24" numFmtId="167" xfId="0" applyAlignment="1" applyFont="1" applyNumberFormat="1">
      <alignment horizontal="center"/>
    </xf>
    <xf borderId="0" fillId="0" fontId="1" numFmtId="166" xfId="0" applyFont="1" applyNumberFormat="1"/>
    <xf borderId="0" fillId="5" fontId="1" numFmtId="0" xfId="0" applyFont="1"/>
    <xf borderId="0" fillId="0" fontId="8" numFmtId="0" xfId="0" applyFont="1"/>
    <xf borderId="0" fillId="5" fontId="8" numFmtId="165" xfId="0" applyAlignment="1" applyFont="1" applyNumberFormat="1">
      <alignment horizontal="center"/>
    </xf>
    <xf borderId="0" fillId="5" fontId="1" numFmtId="165" xfId="0" applyFont="1" applyNumberFormat="1"/>
    <xf borderId="0" fillId="5" fontId="22" numFmtId="0" xfId="0" applyAlignment="1" applyFont="1">
      <alignment horizontal="right"/>
    </xf>
    <xf borderId="3" fillId="5" fontId="1" numFmtId="10" xfId="0" applyAlignment="1" applyBorder="1" applyFont="1" applyNumberFormat="1">
      <alignment horizontal="center"/>
    </xf>
    <xf borderId="0" fillId="5" fontId="1" numFmtId="166" xfId="0" applyAlignment="1" applyFont="1" applyNumberFormat="1">
      <alignment horizontal="center"/>
    </xf>
    <xf borderId="0" fillId="0" fontId="25" numFmtId="0" xfId="0" applyFont="1"/>
    <xf borderId="0" fillId="5" fontId="8" numFmtId="0" xfId="0" applyFont="1"/>
    <xf borderId="15" fillId="5" fontId="1" numFmtId="166" xfId="0" applyAlignment="1" applyBorder="1" applyFont="1" applyNumberFormat="1">
      <alignment horizontal="center"/>
    </xf>
    <xf borderId="0" fillId="0" fontId="22" numFmtId="0" xfId="0" applyFont="1"/>
    <xf borderId="0" fillId="5" fontId="1" numFmtId="0" xfId="0" applyAlignment="1" applyFont="1">
      <alignment shrinkToFit="0" wrapText="1"/>
    </xf>
    <xf borderId="3" fillId="5" fontId="1" numFmtId="10" xfId="0" applyAlignment="1" applyBorder="1" applyFont="1" applyNumberFormat="1">
      <alignment horizontal="center" shrinkToFit="0" wrapText="1"/>
    </xf>
    <xf borderId="0" fillId="5" fontId="1" numFmtId="165" xfId="0" applyAlignment="1" applyFont="1" applyNumberFormat="1">
      <alignment horizontal="center" shrinkToFit="0" wrapText="1"/>
    </xf>
    <xf borderId="0" fillId="5" fontId="1" numFmtId="0" xfId="0" applyAlignment="1" applyFont="1">
      <alignment horizontal="right"/>
    </xf>
    <xf borderId="3" fillId="5" fontId="1" numFmtId="170" xfId="0" applyAlignment="1" applyBorder="1" applyFont="1" applyNumberFormat="1">
      <alignment horizontal="center"/>
    </xf>
    <xf borderId="0" fillId="5" fontId="1" numFmtId="166" xfId="0" applyFont="1" applyNumberFormat="1"/>
    <xf borderId="0" fillId="0" fontId="20" numFmtId="0" xfId="0" applyFont="1"/>
    <xf borderId="0" fillId="5" fontId="1" numFmtId="0" xfId="0" applyAlignment="1" applyFont="1">
      <alignment horizontal="center"/>
    </xf>
    <xf borderId="0" fillId="5" fontId="1" numFmtId="173" xfId="0" applyAlignment="1" applyFont="1" applyNumberFormat="1">
      <alignment horizontal="center"/>
    </xf>
    <xf borderId="0" fillId="5" fontId="1" numFmtId="165" xfId="0" applyAlignment="1" applyFont="1" applyNumberFormat="1">
      <alignment horizontal="center"/>
    </xf>
    <xf borderId="0" fillId="0" fontId="24" numFmtId="4" xfId="0" applyAlignment="1" applyFont="1" applyNumberFormat="1">
      <alignment horizontal="center"/>
    </xf>
    <xf borderId="42" fillId="2" fontId="3" numFmtId="0" xfId="0" applyBorder="1" applyFont="1"/>
    <xf borderId="42" fillId="2" fontId="3" numFmtId="0" xfId="0" applyAlignment="1" applyBorder="1" applyFont="1">
      <alignment horizontal="center" shrinkToFit="0" wrapText="1"/>
    </xf>
    <xf borderId="42" fillId="2" fontId="26" numFmtId="0" xfId="0" applyBorder="1" applyFont="1"/>
    <xf borderId="42" fillId="2" fontId="26" numFmtId="0" xfId="0" applyAlignment="1" applyBorder="1" applyFont="1">
      <alignment horizontal="center"/>
    </xf>
    <xf borderId="0" fillId="0" fontId="8" numFmtId="10" xfId="0" applyAlignment="1" applyFont="1" applyNumberFormat="1">
      <alignment horizontal="center"/>
    </xf>
    <xf borderId="0" fillId="0" fontId="1" numFmtId="168" xfId="0" applyFont="1" applyNumberFormat="1"/>
    <xf borderId="0" fillId="0" fontId="1" numFmtId="168" xfId="0" applyAlignment="1" applyFont="1" applyNumberFormat="1">
      <alignment horizontal="center"/>
    </xf>
    <xf borderId="0" fillId="0" fontId="27" numFmtId="10" xfId="0" applyAlignment="1" applyFont="1" applyNumberFormat="1">
      <alignment horizontal="center"/>
    </xf>
    <xf borderId="0" fillId="0" fontId="24" numFmtId="168" xfId="0" applyFont="1" applyNumberFormat="1"/>
    <xf borderId="0" fillId="0" fontId="24" numFmtId="9" xfId="0" applyAlignment="1" applyFont="1" applyNumberFormat="1">
      <alignment horizontal="center"/>
    </xf>
    <xf borderId="43" fillId="0" fontId="1" numFmtId="0" xfId="0" applyBorder="1" applyFont="1"/>
    <xf borderId="0" fillId="0" fontId="8" numFmtId="167" xfId="0" applyAlignment="1" applyFont="1" applyNumberFormat="1">
      <alignment horizontal="center"/>
    </xf>
    <xf borderId="44" fillId="0" fontId="1" numFmtId="0" xfId="0" applyBorder="1" applyFont="1"/>
    <xf borderId="44" fillId="0" fontId="8" numFmtId="167" xfId="0" applyAlignment="1" applyBorder="1" applyFont="1" applyNumberFormat="1">
      <alignment horizontal="center"/>
    </xf>
    <xf borderId="0" fillId="0" fontId="1" numFmtId="9" xfId="0" applyFont="1" applyNumberFormat="1"/>
    <xf borderId="45" fillId="2" fontId="12" numFmtId="174" xfId="0" applyBorder="1" applyFont="1" applyNumberFormat="1"/>
    <xf borderId="11" fillId="2" fontId="28" numFmtId="0" xfId="0" applyBorder="1" applyFont="1"/>
    <xf borderId="12" fillId="2" fontId="28" numFmtId="0" xfId="0" applyBorder="1" applyFont="1"/>
    <xf borderId="13" fillId="2" fontId="28" numFmtId="0" xfId="0" applyBorder="1" applyFont="1"/>
    <xf borderId="46" fillId="0" fontId="17" numFmtId="0" xfId="0" applyBorder="1" applyFont="1"/>
    <xf borderId="0" fillId="0" fontId="17" numFmtId="168" xfId="0" applyFont="1" applyNumberFormat="1"/>
    <xf borderId="29" fillId="0" fontId="17" numFmtId="168" xfId="0" applyBorder="1" applyFont="1" applyNumberFormat="1"/>
    <xf borderId="46" fillId="0" fontId="15" numFmtId="169" xfId="0" applyBorder="1" applyFont="1" applyNumberFormat="1"/>
    <xf borderId="29" fillId="0" fontId="15" numFmtId="168" xfId="0" applyBorder="1" applyFont="1" applyNumberFormat="1"/>
    <xf borderId="21" fillId="7" fontId="15" numFmtId="0" xfId="0" applyBorder="1" applyFill="1" applyFont="1"/>
    <xf borderId="47" fillId="7" fontId="15" numFmtId="168" xfId="0" applyBorder="1" applyFont="1" applyNumberFormat="1"/>
    <xf borderId="18" fillId="7" fontId="15" numFmtId="168" xfId="0" applyBorder="1" applyFont="1" applyNumberFormat="1"/>
    <xf borderId="21" fillId="8" fontId="14" numFmtId="164" xfId="0" applyBorder="1" applyFill="1" applyFont="1" applyNumberFormat="1"/>
    <xf borderId="47" fillId="8" fontId="17" numFmtId="168" xfId="0" applyBorder="1" applyFont="1" applyNumberFormat="1"/>
    <xf borderId="18" fillId="8" fontId="17" numFmtId="168" xfId="0" applyBorder="1" applyFont="1" applyNumberFormat="1"/>
    <xf borderId="46" fillId="0" fontId="15" numFmtId="0" xfId="0" applyBorder="1" applyFont="1"/>
    <xf borderId="29" fillId="0" fontId="15" numFmtId="0" xfId="0" applyBorder="1" applyFont="1"/>
    <xf borderId="15" fillId="2" fontId="28" numFmtId="0" xfId="0" applyBorder="1" applyFont="1"/>
    <xf borderId="48" fillId="2" fontId="28" numFmtId="0" xfId="0" applyBorder="1" applyFont="1"/>
    <xf borderId="49" fillId="0" fontId="15" numFmtId="0" xfId="0" applyBorder="1" applyFont="1"/>
    <xf borderId="43" fillId="0" fontId="15" numFmtId="166" xfId="0" applyBorder="1" applyFont="1" applyNumberFormat="1"/>
    <xf borderId="50" fillId="0" fontId="15" numFmtId="166" xfId="0" applyBorder="1" applyFont="1" applyNumberFormat="1"/>
    <xf borderId="29" fillId="0" fontId="15" numFmtId="166" xfId="0" applyBorder="1" applyFont="1" applyNumberFormat="1"/>
    <xf borderId="46" fillId="0" fontId="15" numFmtId="164" xfId="0" applyBorder="1" applyFont="1" applyNumberFormat="1"/>
    <xf borderId="21" fillId="8" fontId="17" numFmtId="0" xfId="0" applyBorder="1" applyFont="1"/>
    <xf borderId="47" fillId="8" fontId="17" numFmtId="166" xfId="0" applyBorder="1" applyFont="1" applyNumberFormat="1"/>
    <xf borderId="18" fillId="8" fontId="17" numFmtId="166" xfId="0" applyBorder="1" applyFont="1" applyNumberFormat="1"/>
    <xf borderId="51" fillId="8" fontId="17" numFmtId="0" xfId="0" applyBorder="1" applyFont="1"/>
    <xf borderId="52" fillId="8" fontId="17" numFmtId="168" xfId="0" applyBorder="1" applyFont="1" applyNumberFormat="1"/>
    <xf borderId="53" fillId="8" fontId="17" numFmtId="168" xfId="0" applyBorder="1" applyFont="1" applyNumberFormat="1"/>
    <xf borderId="41" fillId="0" fontId="15" numFmtId="0" xfId="0" applyBorder="1" applyFont="1"/>
    <xf borderId="44" fillId="0" fontId="15" numFmtId="168" xfId="0" applyBorder="1" applyFont="1" applyNumberFormat="1"/>
    <xf borderId="30" fillId="0" fontId="15" numFmtId="168" xfId="0" applyBorder="1" applyFont="1" applyNumberFormat="1"/>
    <xf borderId="21" fillId="8" fontId="15" numFmtId="0" xfId="0" applyBorder="1" applyFont="1"/>
    <xf borderId="47" fillId="8" fontId="15" numFmtId="168" xfId="0" applyBorder="1" applyFont="1" applyNumberFormat="1"/>
    <xf borderId="18" fillId="8" fontId="15" numFmtId="168" xfId="0" applyBorder="1" applyFont="1" applyNumberFormat="1"/>
    <xf borderId="54" fillId="2" fontId="29" numFmtId="0" xfId="0" applyAlignment="1" applyBorder="1" applyFont="1">
      <alignment horizontal="center"/>
    </xf>
    <xf borderId="55" fillId="0" fontId="4" numFmtId="0" xfId="0" applyBorder="1" applyFont="1"/>
    <xf borderId="0" fillId="0" fontId="8" numFmtId="0" xfId="0" applyAlignment="1" applyFont="1">
      <alignment horizontal="right"/>
    </xf>
    <xf borderId="0" fillId="0" fontId="1" numFmtId="0" xfId="0" applyAlignment="1" applyFont="1">
      <alignment horizontal="right"/>
    </xf>
    <xf borderId="56" fillId="0" fontId="1" numFmtId="0" xfId="0" applyBorder="1" applyFont="1"/>
    <xf borderId="57" fillId="0" fontId="1" numFmtId="0" xfId="0" applyBorder="1" applyFont="1"/>
    <xf borderId="58" fillId="5" fontId="15" numFmtId="167" xfId="0" applyBorder="1" applyFont="1" applyNumberFormat="1"/>
    <xf borderId="57" fillId="5" fontId="13" numFmtId="9" xfId="0" applyBorder="1" applyFont="1" applyNumberFormat="1"/>
    <xf borderId="57" fillId="0" fontId="1" numFmtId="9" xfId="0" applyBorder="1" applyFont="1" applyNumberFormat="1"/>
    <xf borderId="59" fillId="0" fontId="1" numFmtId="9" xfId="0" applyBorder="1" applyFont="1" applyNumberFormat="1"/>
    <xf borderId="0" fillId="0" fontId="30" numFmtId="9" xfId="0" applyFont="1" applyNumberFormat="1"/>
    <xf borderId="60" fillId="0" fontId="1" numFmtId="0" xfId="0" applyBorder="1" applyFont="1"/>
    <xf borderId="15" fillId="5" fontId="15" numFmtId="167" xfId="0" applyBorder="1" applyFont="1" applyNumberFormat="1"/>
    <xf borderId="15" fillId="5" fontId="15" numFmtId="9" xfId="0" applyBorder="1" applyFont="1" applyNumberFormat="1"/>
    <xf borderId="61" fillId="0" fontId="1" numFmtId="9" xfId="0" applyBorder="1" applyFont="1" applyNumberFormat="1"/>
    <xf borderId="0" fillId="0" fontId="13" numFmtId="9" xfId="0" applyFont="1" applyNumberFormat="1"/>
    <xf borderId="62" fillId="0" fontId="1" numFmtId="0" xfId="0" applyBorder="1" applyFont="1"/>
    <xf borderId="63" fillId="0" fontId="1" numFmtId="0" xfId="0" applyBorder="1" applyFont="1"/>
    <xf borderId="63" fillId="5" fontId="30" numFmtId="0" xfId="0" applyBorder="1" applyFont="1"/>
    <xf borderId="45" fillId="5" fontId="13" numFmtId="9" xfId="0" applyBorder="1" applyFont="1" applyNumberFormat="1"/>
    <xf borderId="63" fillId="0" fontId="1" numFmtId="9" xfId="0" applyBorder="1" applyFont="1" applyNumberFormat="1"/>
    <xf borderId="64" fillId="0" fontId="1" numFmtId="9" xfId="0" applyBorder="1" applyFont="1" applyNumberFormat="1"/>
    <xf borderId="63" fillId="0" fontId="31" numFmtId="175" xfId="0" applyAlignment="1" applyBorder="1" applyFont="1" applyNumberFormat="1">
      <alignment horizontal="left"/>
    </xf>
    <xf borderId="63" fillId="0" fontId="14" numFmtId="0" xfId="0" applyAlignment="1" applyBorder="1" applyFont="1">
      <alignment horizontal="center"/>
    </xf>
    <xf borderId="63" fillId="0" fontId="14" numFmtId="176" xfId="0" applyBorder="1" applyFont="1" applyNumberFormat="1"/>
    <xf borderId="65" fillId="0" fontId="14" numFmtId="37" xfId="0" applyBorder="1" applyFont="1" applyNumberFormat="1"/>
    <xf borderId="0" fillId="0" fontId="1" numFmtId="37" xfId="0" applyFont="1" applyNumberFormat="1"/>
    <xf borderId="15" fillId="5" fontId="1" numFmtId="37" xfId="0" applyBorder="1" applyFont="1" applyNumberFormat="1"/>
    <xf borderId="26" fillId="0" fontId="14" numFmtId="37" xfId="0" applyBorder="1" applyFont="1" applyNumberFormat="1"/>
    <xf borderId="12" fillId="9" fontId="8" numFmtId="0" xfId="0" applyBorder="1" applyFill="1" applyFont="1"/>
    <xf borderId="19" fillId="9" fontId="14" numFmtId="37" xfId="0" applyBorder="1" applyFont="1" applyNumberFormat="1"/>
    <xf borderId="12" fillId="9" fontId="8" numFmtId="37" xfId="0" applyBorder="1" applyFont="1" applyNumberFormat="1"/>
    <xf borderId="0" fillId="0" fontId="14" numFmtId="177" xfId="0" applyFont="1" applyNumberFormat="1"/>
    <xf borderId="0" fillId="0" fontId="32" numFmtId="37" xfId="0" applyFont="1" applyNumberFormat="1"/>
    <xf borderId="0" fillId="0" fontId="14" numFmtId="37" xfId="0" applyFont="1" applyNumberFormat="1"/>
    <xf borderId="66" fillId="8" fontId="14" numFmtId="0" xfId="0" applyBorder="1" applyFont="1"/>
    <xf borderId="58" fillId="8" fontId="14" numFmtId="177" xfId="0" applyBorder="1" applyFont="1" applyNumberFormat="1"/>
    <xf borderId="58" fillId="8" fontId="33" numFmtId="37" xfId="0" applyBorder="1" applyFont="1" applyNumberFormat="1"/>
    <xf borderId="58" fillId="8" fontId="14" numFmtId="37" xfId="0" applyBorder="1" applyFont="1" applyNumberFormat="1"/>
    <xf borderId="58" fillId="8" fontId="1" numFmtId="37" xfId="0" applyBorder="1" applyFont="1" applyNumberFormat="1"/>
    <xf borderId="67" fillId="8" fontId="1" numFmtId="37" xfId="0" applyBorder="1" applyFont="1" applyNumberFormat="1"/>
    <xf borderId="60" fillId="0" fontId="34" numFmtId="0" xfId="0" applyBorder="1" applyFont="1"/>
    <xf borderId="26" fillId="0" fontId="35" numFmtId="37" xfId="0" applyBorder="1" applyFont="1" applyNumberFormat="1"/>
    <xf borderId="61" fillId="0" fontId="1" numFmtId="37" xfId="0" applyBorder="1" applyFont="1" applyNumberFormat="1"/>
    <xf borderId="0" fillId="0" fontId="36" numFmtId="167" xfId="0" applyFont="1" applyNumberFormat="1"/>
    <xf borderId="0" fillId="0" fontId="13" numFmtId="37" xfId="0" applyFont="1" applyNumberFormat="1"/>
    <xf borderId="61" fillId="0" fontId="13" numFmtId="37" xfId="0" applyBorder="1" applyFont="1" applyNumberFormat="1"/>
    <xf borderId="68" fillId="7" fontId="1" numFmtId="0" xfId="0" applyBorder="1" applyFont="1"/>
    <xf borderId="47" fillId="7" fontId="1" numFmtId="177" xfId="0" applyBorder="1" applyFont="1" applyNumberFormat="1"/>
    <xf borderId="3" fillId="7" fontId="14" numFmtId="37" xfId="0" applyBorder="1" applyFont="1" applyNumberFormat="1"/>
    <xf borderId="47" fillId="7" fontId="13" numFmtId="37" xfId="0" applyBorder="1" applyFont="1" applyNumberFormat="1"/>
    <xf borderId="69" fillId="7" fontId="13" numFmtId="37" xfId="0" applyBorder="1" applyFont="1" applyNumberFormat="1"/>
    <xf borderId="0" fillId="0" fontId="1" numFmtId="177" xfId="0" applyFont="1" applyNumberFormat="1"/>
    <xf borderId="60" fillId="0" fontId="37" numFmtId="0" xfId="0" applyBorder="1" applyFont="1"/>
    <xf borderId="0" fillId="0" fontId="37" numFmtId="167" xfId="0" applyFont="1" applyNumberFormat="1"/>
    <xf borderId="0" fillId="0" fontId="37" numFmtId="37" xfId="0" applyFont="1" applyNumberFormat="1"/>
    <xf borderId="61" fillId="0" fontId="37" numFmtId="37" xfId="0" applyBorder="1" applyFont="1" applyNumberFormat="1"/>
    <xf borderId="63" fillId="0" fontId="36" numFmtId="167" xfId="0" applyBorder="1" applyFont="1" applyNumberFormat="1"/>
    <xf borderId="70" fillId="0" fontId="14" numFmtId="37" xfId="0" applyBorder="1" applyFont="1" applyNumberFormat="1"/>
    <xf borderId="63" fillId="0" fontId="13" numFmtId="37" xfId="0" applyBorder="1" applyFont="1" applyNumberFormat="1"/>
    <xf borderId="64" fillId="0" fontId="13" numFmtId="37" xfId="0" applyBorder="1" applyFont="1" applyNumberFormat="1"/>
    <xf borderId="71" fillId="0" fontId="1" numFmtId="0" xfId="0" applyBorder="1" applyFont="1"/>
    <xf borderId="72" fillId="0" fontId="14" numFmtId="177" xfId="0" applyBorder="1" applyFont="1" applyNumberFormat="1"/>
    <xf borderId="35" fillId="0" fontId="14" numFmtId="37" xfId="0" applyBorder="1" applyFont="1" applyNumberFormat="1"/>
    <xf borderId="72" fillId="0" fontId="37" numFmtId="37" xfId="0" applyBorder="1" applyFont="1" applyNumberFormat="1"/>
    <xf borderId="73" fillId="0" fontId="37" numFmtId="37" xfId="0" applyBorder="1" applyFont="1" applyNumberFormat="1"/>
    <xf borderId="0" fillId="0" fontId="36" numFmtId="9" xfId="0" applyFont="1" applyNumberFormat="1"/>
    <xf borderId="0" fillId="0" fontId="38" numFmtId="9" xfId="0" applyFont="1" applyNumberFormat="1"/>
    <xf borderId="74" fillId="7" fontId="1" numFmtId="0" xfId="0" applyBorder="1" applyFont="1"/>
    <xf borderId="75" fillId="7" fontId="14" numFmtId="177" xfId="0" applyBorder="1" applyFont="1" applyNumberFormat="1"/>
    <xf borderId="35" fillId="7" fontId="14" numFmtId="37" xfId="0" applyBorder="1" applyFont="1" applyNumberFormat="1"/>
    <xf borderId="75" fillId="7" fontId="13" numFmtId="37" xfId="0" applyBorder="1" applyFont="1" applyNumberFormat="1"/>
    <xf borderId="76" fillId="7" fontId="13" numFmtId="37" xfId="0" applyBorder="1" applyFont="1" applyNumberFormat="1"/>
    <xf borderId="63" fillId="0" fontId="36" numFmtId="9" xfId="0" applyBorder="1" applyFont="1" applyNumberFormat="1"/>
    <xf borderId="72" fillId="0" fontId="13" numFmtId="37" xfId="0" applyBorder="1" applyFont="1" applyNumberFormat="1"/>
    <xf borderId="73" fillId="0" fontId="13" numFmtId="37" xfId="0" applyBorder="1" applyFont="1" applyNumberFormat="1"/>
    <xf borderId="77" fillId="0" fontId="1" numFmtId="0" xfId="0" applyBorder="1" applyFont="1"/>
    <xf borderId="58" fillId="8" fontId="13" numFmtId="37" xfId="0" applyBorder="1" applyFont="1" applyNumberFormat="1"/>
    <xf borderId="47" fillId="7" fontId="14" numFmtId="177" xfId="0" applyBorder="1" applyFont="1" applyNumberFormat="1"/>
    <xf borderId="0" fillId="0" fontId="1" numFmtId="167" xfId="0" applyFont="1" applyNumberFormat="1"/>
    <xf borderId="78" fillId="8" fontId="14" numFmtId="0" xfId="0" applyBorder="1" applyFont="1"/>
    <xf borderId="79" fillId="8" fontId="14" numFmtId="177" xfId="0" applyBorder="1" applyFont="1" applyNumberFormat="1"/>
    <xf borderId="79" fillId="8" fontId="39" numFmtId="37" xfId="0" applyBorder="1" applyFont="1" applyNumberFormat="1"/>
    <xf borderId="79" fillId="8" fontId="13" numFmtId="37" xfId="0" applyBorder="1" applyFont="1" applyNumberFormat="1"/>
    <xf borderId="79" fillId="8" fontId="1" numFmtId="37" xfId="0" applyBorder="1" applyFont="1" applyNumberFormat="1"/>
    <xf borderId="80" fillId="8" fontId="1" numFmtId="37" xfId="0" applyBorder="1" applyFont="1" applyNumberFormat="1"/>
    <xf borderId="16" fillId="0" fontId="14" numFmtId="37" xfId="0" applyBorder="1" applyFont="1" applyNumberFormat="1"/>
    <xf borderId="78" fillId="2" fontId="12" numFmtId="0" xfId="0" applyBorder="1" applyFont="1"/>
    <xf borderId="79" fillId="2" fontId="12" numFmtId="177" xfId="0" applyBorder="1" applyFont="1" applyNumberFormat="1"/>
    <xf borderId="58" fillId="2" fontId="40" numFmtId="37" xfId="0" applyBorder="1" applyFont="1" applyNumberFormat="1"/>
    <xf borderId="79" fillId="2" fontId="28" numFmtId="37" xfId="0" applyBorder="1" applyFont="1" applyNumberFormat="1"/>
    <xf borderId="79" fillId="2" fontId="26" numFmtId="37" xfId="0" applyBorder="1" applyFont="1" applyNumberFormat="1"/>
    <xf borderId="80" fillId="2" fontId="26" numFmtId="37" xfId="0" applyBorder="1" applyFont="1" applyNumberFormat="1"/>
    <xf borderId="74" fillId="8" fontId="14" numFmtId="0" xfId="0" applyBorder="1" applyFont="1"/>
    <xf borderId="75" fillId="8" fontId="14" numFmtId="177" xfId="0" applyBorder="1" applyFont="1" applyNumberFormat="1"/>
    <xf borderId="35" fillId="8" fontId="14" numFmtId="37" xfId="0" applyBorder="1" applyFont="1" applyNumberFormat="1"/>
    <xf borderId="75" fillId="8" fontId="14" numFmtId="37" xfId="0" applyBorder="1" applyFont="1" applyNumberFormat="1"/>
    <xf borderId="76" fillId="8" fontId="14" numFmtId="37" xfId="0" applyBorder="1" applyFont="1" applyNumberFormat="1"/>
    <xf borderId="60" fillId="0" fontId="1" numFmtId="0" xfId="0" applyAlignment="1" applyBorder="1" applyFont="1">
      <alignment horizontal="left"/>
    </xf>
    <xf borderId="15" fillId="8" fontId="14" numFmtId="178" xfId="0" applyBorder="1" applyFont="1" applyNumberFormat="1"/>
    <xf borderId="62" fillId="0" fontId="1" numFmtId="0" xfId="0" applyAlignment="1" applyBorder="1" applyFont="1">
      <alignment horizontal="left"/>
    </xf>
    <xf borderId="63" fillId="0" fontId="14" numFmtId="177" xfId="0" applyBorder="1" applyFont="1" applyNumberFormat="1"/>
    <xf borderId="15" fillId="7" fontId="37" numFmtId="0" xfId="0" applyAlignment="1" applyBorder="1" applyFont="1">
      <alignment horizontal="left"/>
    </xf>
    <xf borderId="15" fillId="7" fontId="34" numFmtId="177" xfId="0" applyBorder="1" applyFont="1" applyNumberFormat="1"/>
    <xf borderId="15" fillId="7" fontId="37" numFmtId="37" xfId="0" applyBorder="1" applyFont="1" applyNumberFormat="1"/>
    <xf borderId="15" fillId="5" fontId="41" numFmtId="0" xfId="0" applyBorder="1" applyFont="1"/>
    <xf borderId="15" fillId="5" fontId="20" numFmtId="0" xfId="0" applyBorder="1" applyFont="1"/>
    <xf borderId="15" fillId="5" fontId="20" numFmtId="9" xfId="0" applyBorder="1" applyFont="1" applyNumberFormat="1"/>
    <xf borderId="15" fillId="5" fontId="1" numFmtId="0" xfId="0" applyBorder="1" applyFont="1"/>
    <xf borderId="15" fillId="5" fontId="22" numFmtId="0" xfId="0" applyBorder="1" applyFont="1"/>
    <xf borderId="15" fillId="5" fontId="1" numFmtId="179" xfId="0" applyBorder="1" applyFont="1" applyNumberFormat="1"/>
    <xf borderId="0" fillId="0" fontId="42" numFmtId="0" xfId="0" applyFont="1"/>
    <xf borderId="0" fillId="0" fontId="1" numFmtId="0" xfId="0" applyAlignment="1" applyFont="1">
      <alignment horizontal="center" shrinkToFit="0" vertical="center" wrapText="1"/>
    </xf>
    <xf borderId="0" fillId="0" fontId="1" numFmtId="180" xfId="0" applyAlignment="1" applyFont="1" applyNumberFormat="1">
      <alignment horizontal="center"/>
    </xf>
    <xf borderId="0" fillId="0" fontId="1" numFmtId="180" xfId="0" applyFont="1" applyNumberFormat="1"/>
    <xf borderId="15" fillId="5" fontId="1" numFmtId="168" xfId="0" applyBorder="1" applyFont="1" applyNumberFormat="1"/>
    <xf borderId="15" fillId="5" fontId="1" numFmtId="169" xfId="0" applyBorder="1" applyFont="1" applyNumberFormat="1"/>
    <xf borderId="15" fillId="5" fontId="1" numFmtId="10" xfId="0" applyBorder="1" applyFont="1" applyNumberFormat="1"/>
    <xf borderId="56" fillId="0" fontId="22" numFmtId="0" xfId="0" applyBorder="1" applyFont="1"/>
    <xf borderId="81" fillId="5" fontId="15" numFmtId="168" xfId="0" applyAlignment="1" applyBorder="1" applyFont="1" applyNumberFormat="1">
      <alignment horizontal="center"/>
    </xf>
    <xf borderId="82" fillId="0" fontId="1" numFmtId="169" xfId="0" applyAlignment="1" applyBorder="1" applyFont="1" applyNumberFormat="1">
      <alignment horizontal="right"/>
    </xf>
    <xf borderId="83" fillId="0" fontId="4" numFmtId="0" xfId="0" applyBorder="1" applyFont="1"/>
    <xf borderId="81" fillId="10" fontId="10" numFmtId="181" xfId="0" applyAlignment="1" applyBorder="1" applyFill="1" applyFont="1" applyNumberFormat="1">
      <alignment horizontal="right"/>
    </xf>
    <xf borderId="4" fillId="8" fontId="1" numFmtId="0" xfId="0" applyAlignment="1" applyBorder="1" applyFont="1">
      <alignment horizontal="center"/>
    </xf>
    <xf borderId="3" fillId="9" fontId="1" numFmtId="0" xfId="0" applyAlignment="1" applyBorder="1" applyFont="1">
      <alignment horizontal="center"/>
    </xf>
    <xf borderId="60" fillId="0" fontId="22" numFmtId="0" xfId="0" applyBorder="1" applyFont="1"/>
    <xf borderId="84" fillId="5" fontId="1" numFmtId="1" xfId="0" applyAlignment="1" applyBorder="1" applyFont="1" applyNumberFormat="1">
      <alignment horizontal="center"/>
    </xf>
    <xf borderId="5" fillId="0" fontId="1" numFmtId="0" xfId="0" applyAlignment="1" applyBorder="1" applyFont="1">
      <alignment horizontal="right"/>
    </xf>
    <xf borderId="84" fillId="10" fontId="10" numFmtId="181" xfId="0" applyAlignment="1" applyBorder="1" applyFont="1" applyNumberFormat="1">
      <alignment horizontal="right"/>
    </xf>
    <xf borderId="4" fillId="7" fontId="1" numFmtId="173" xfId="0" applyAlignment="1" applyBorder="1" applyFont="1" applyNumberFormat="1">
      <alignment horizontal="center"/>
    </xf>
    <xf borderId="3" fillId="7" fontId="1" numFmtId="173" xfId="0" applyAlignment="1" applyBorder="1" applyFont="1" applyNumberFormat="1">
      <alignment horizontal="center"/>
    </xf>
    <xf borderId="85" fillId="5" fontId="8" numFmtId="10" xfId="0" applyAlignment="1" applyBorder="1" applyFont="1" applyNumberFormat="1">
      <alignment horizontal="center"/>
    </xf>
    <xf borderId="86" fillId="0" fontId="1" numFmtId="10" xfId="0" applyAlignment="1" applyBorder="1" applyFont="1" applyNumberFormat="1">
      <alignment horizontal="right"/>
    </xf>
    <xf borderId="40" fillId="0" fontId="4" numFmtId="0" xfId="0" applyBorder="1" applyFont="1"/>
    <xf borderId="87" fillId="10" fontId="10" numFmtId="181" xfId="0" applyAlignment="1" applyBorder="1" applyFont="1" applyNumberFormat="1">
      <alignment horizontal="right"/>
    </xf>
    <xf borderId="88" fillId="0" fontId="22" numFmtId="0" xfId="0" applyBorder="1" applyFont="1"/>
    <xf borderId="84" fillId="5" fontId="1" numFmtId="179" xfId="0" applyAlignment="1" applyBorder="1" applyFont="1" applyNumberFormat="1">
      <alignment horizontal="center"/>
    </xf>
    <xf borderId="15" fillId="5" fontId="1" numFmtId="182" xfId="0" applyBorder="1" applyFont="1" applyNumberFormat="1"/>
    <xf borderId="15" fillId="5" fontId="1" numFmtId="0" xfId="0" applyAlignment="1" applyBorder="1" applyFont="1">
      <alignment horizontal="right"/>
    </xf>
    <xf borderId="3" fillId="6" fontId="1" numFmtId="170" xfId="0" applyAlignment="1" applyBorder="1" applyFont="1" applyNumberFormat="1">
      <alignment horizontal="center"/>
    </xf>
    <xf borderId="89" fillId="5" fontId="1" numFmtId="0" xfId="0" applyBorder="1" applyFont="1"/>
    <xf borderId="87" fillId="5" fontId="1" numFmtId="179" xfId="0" applyAlignment="1" applyBorder="1" applyFont="1" applyNumberFormat="1">
      <alignment horizontal="center"/>
    </xf>
    <xf borderId="27" fillId="8" fontId="22" numFmtId="0" xfId="0" applyAlignment="1" applyBorder="1" applyFont="1">
      <alignment horizontal="center" vertical="center"/>
    </xf>
    <xf borderId="90" fillId="8" fontId="22" numFmtId="0" xfId="0" applyAlignment="1" applyBorder="1" applyFont="1">
      <alignment horizontal="center" vertical="center"/>
    </xf>
    <xf borderId="90" fillId="8" fontId="22" numFmtId="0" xfId="0" applyAlignment="1" applyBorder="1" applyFont="1">
      <alignment horizontal="center" shrinkToFit="0" vertical="center" wrapText="1"/>
    </xf>
    <xf borderId="90" fillId="8" fontId="1" numFmtId="0" xfId="0" applyAlignment="1" applyBorder="1" applyFont="1">
      <alignment horizontal="center" vertical="center"/>
    </xf>
    <xf borderId="90" fillId="8" fontId="22" numFmtId="179" xfId="0" applyAlignment="1" applyBorder="1" applyFont="1" applyNumberFormat="1">
      <alignment horizontal="center" vertical="center"/>
    </xf>
    <xf borderId="28" fillId="8" fontId="22" numFmtId="179" xfId="0" applyAlignment="1" applyBorder="1" applyFont="1" applyNumberFormat="1">
      <alignment horizontal="center" vertical="center"/>
    </xf>
    <xf borderId="0" fillId="0" fontId="42" numFmtId="0" xfId="0" applyAlignment="1" applyFont="1">
      <alignment horizontal="center" vertical="center"/>
    </xf>
    <xf borderId="15" fillId="5" fontId="1" numFmtId="168" xfId="0" applyAlignment="1" applyBorder="1" applyFont="1" applyNumberFormat="1">
      <alignment horizontal="center" vertical="center"/>
    </xf>
    <xf borderId="0" fillId="0" fontId="1" numFmtId="0" xfId="0" applyAlignment="1" applyFont="1">
      <alignment horizontal="center" vertical="center"/>
    </xf>
    <xf borderId="0" fillId="0" fontId="1" numFmtId="179" xfId="0" applyFont="1" applyNumberFormat="1"/>
    <xf borderId="0" fillId="0" fontId="1" numFmtId="169" xfId="0" applyAlignment="1" applyFont="1" applyNumberFormat="1">
      <alignment horizontal="center" shrinkToFit="0" vertical="center" wrapText="1"/>
    </xf>
    <xf borderId="0" fillId="0" fontId="1" numFmtId="182" xfId="0" applyFont="1" applyNumberFormat="1"/>
    <xf borderId="0" fillId="0" fontId="1" numFmtId="183" xfId="0" applyFont="1" applyNumberFormat="1"/>
    <xf borderId="0" fillId="0" fontId="1" numFmtId="10" xfId="0" applyFont="1" applyNumberFormat="1"/>
    <xf borderId="0" fillId="0" fontId="42" numFmtId="182" xfId="0" applyFont="1" applyNumberFormat="1"/>
    <xf borderId="15" fillId="5" fontId="43" numFmtId="0" xfId="0" applyBorder="1" applyFont="1"/>
    <xf borderId="15" fillId="5" fontId="44" numFmtId="164" xfId="0" applyAlignment="1" applyBorder="1" applyFont="1" applyNumberFormat="1">
      <alignment horizontal="left"/>
    </xf>
    <xf borderId="15" fillId="5" fontId="43" numFmtId="0" xfId="0" applyAlignment="1" applyBorder="1" applyFont="1">
      <alignment horizontal="left"/>
    </xf>
    <xf borderId="15" fillId="5" fontId="45" numFmtId="164" xfId="0" applyBorder="1" applyFont="1" applyNumberFormat="1"/>
    <xf borderId="15" fillId="5" fontId="44" numFmtId="164" xfId="0" applyAlignment="1" applyBorder="1" applyFont="1" applyNumberFormat="1">
      <alignment horizontal="right"/>
    </xf>
    <xf borderId="15" fillId="5" fontId="45" numFmtId="164" xfId="0" applyAlignment="1" applyBorder="1" applyFont="1" applyNumberFormat="1">
      <alignment horizontal="left"/>
    </xf>
    <xf borderId="15" fillId="5" fontId="43" numFmtId="164" xfId="0" applyAlignment="1" applyBorder="1" applyFont="1" applyNumberFormat="1">
      <alignment horizontal="right"/>
    </xf>
    <xf borderId="15" fillId="5" fontId="46" numFmtId="0" xfId="0" applyAlignment="1" applyBorder="1" applyFont="1">
      <alignment horizontal="center"/>
    </xf>
    <xf borderId="15" fillId="5" fontId="47" numFmtId="0" xfId="0" applyAlignment="1" applyBorder="1" applyFont="1">
      <alignment horizontal="left"/>
    </xf>
    <xf borderId="15" fillId="5" fontId="45" numFmtId="164" xfId="0" applyAlignment="1" applyBorder="1" applyFont="1" applyNumberFormat="1">
      <alignment horizontal="right"/>
    </xf>
    <xf borderId="15" fillId="5" fontId="43" numFmtId="164" xfId="0" applyAlignment="1" applyBorder="1" applyFont="1" applyNumberFormat="1">
      <alignment horizontal="left"/>
    </xf>
    <xf borderId="21" fillId="5" fontId="43" numFmtId="164" xfId="0" applyAlignment="1" applyBorder="1" applyFont="1" applyNumberFormat="1">
      <alignment horizontal="left"/>
    </xf>
    <xf borderId="47" fillId="5" fontId="43" numFmtId="0" xfId="0" applyAlignment="1" applyBorder="1" applyFont="1">
      <alignment horizontal="right"/>
    </xf>
    <xf borderId="18" fillId="5" fontId="45" numFmtId="10" xfId="0" applyBorder="1" applyFont="1" applyNumberFormat="1"/>
    <xf borderId="15" fillId="5" fontId="43" numFmtId="0" xfId="0" applyAlignment="1" applyBorder="1" applyFont="1">
      <alignment horizontal="right"/>
    </xf>
    <xf borderId="15" fillId="5" fontId="47" numFmtId="0" xfId="0" applyBorder="1" applyFont="1"/>
    <xf borderId="21" fillId="5" fontId="43" numFmtId="0" xfId="0" applyBorder="1" applyFont="1"/>
    <xf borderId="18" fillId="5" fontId="46" numFmtId="3" xfId="0" applyAlignment="1" applyBorder="1" applyFont="1" applyNumberFormat="1">
      <alignment horizontal="center"/>
    </xf>
    <xf borderId="15" fillId="5" fontId="45" numFmtId="0" xfId="0" applyAlignment="1" applyBorder="1" applyFont="1">
      <alignment horizontal="center"/>
    </xf>
    <xf borderId="15" fillId="5" fontId="43" numFmtId="164" xfId="0" applyAlignment="1" applyBorder="1" applyFont="1" applyNumberFormat="1">
      <alignment horizontal="center"/>
    </xf>
    <xf borderId="15" fillId="5" fontId="46" numFmtId="164" xfId="0" applyAlignment="1" applyBorder="1" applyFont="1" applyNumberFormat="1">
      <alignment horizontal="center"/>
    </xf>
    <xf borderId="91" fillId="5" fontId="46" numFmtId="164" xfId="0" applyAlignment="1" applyBorder="1" applyFont="1" applyNumberFormat="1">
      <alignment horizontal="center" shrinkToFit="0" vertical="center" wrapText="1"/>
    </xf>
    <xf borderId="92" fillId="5" fontId="46" numFmtId="164" xfId="0" applyAlignment="1" applyBorder="1" applyFont="1" applyNumberFormat="1">
      <alignment horizontal="center" vertical="center"/>
    </xf>
    <xf borderId="93" fillId="0" fontId="4" numFmtId="0" xfId="0" applyBorder="1" applyFont="1"/>
    <xf borderId="15" fillId="5" fontId="48" numFmtId="164" xfId="0" applyAlignment="1" applyBorder="1" applyFont="1" applyNumberFormat="1">
      <alignment horizontal="center" vertical="center"/>
    </xf>
    <xf borderId="15" fillId="5" fontId="47" numFmtId="164" xfId="0" applyAlignment="1" applyBorder="1" applyFont="1" applyNumberFormat="1">
      <alignment horizontal="left"/>
    </xf>
    <xf borderId="15" fillId="5" fontId="46" numFmtId="3" xfId="0" applyAlignment="1" applyBorder="1" applyFont="1" applyNumberFormat="1">
      <alignment horizontal="center"/>
    </xf>
    <xf borderId="94" fillId="0" fontId="4" numFmtId="0" xfId="0" applyBorder="1" applyFont="1"/>
    <xf borderId="95" fillId="0" fontId="4" numFmtId="0" xfId="0" applyBorder="1" applyFont="1"/>
    <xf borderId="15" fillId="5" fontId="47" numFmtId="164" xfId="0" applyAlignment="1" applyBorder="1" applyFont="1" applyNumberFormat="1">
      <alignment horizontal="left" vertical="center"/>
    </xf>
    <xf borderId="15" fillId="5" fontId="46" numFmtId="3" xfId="0" applyAlignment="1" applyBorder="1" applyFont="1" applyNumberFormat="1">
      <alignment horizontal="center" vertical="center"/>
    </xf>
    <xf borderId="15" fillId="5" fontId="46" numFmtId="164" xfId="0" applyAlignment="1" applyBorder="1" applyFont="1" applyNumberFormat="1">
      <alignment horizontal="center" vertical="center"/>
    </xf>
    <xf borderId="15" fillId="5" fontId="46" numFmtId="164" xfId="0" applyAlignment="1" applyBorder="1" applyFont="1" applyNumberFormat="1">
      <alignment horizontal="center" shrinkToFit="0" vertical="center" wrapText="1"/>
    </xf>
    <xf borderId="15" fillId="5" fontId="46" numFmtId="164" xfId="0" applyBorder="1" applyFont="1" applyNumberFormat="1"/>
    <xf borderId="15" fillId="5" fontId="46" numFmtId="164" xfId="0" applyAlignment="1" applyBorder="1" applyFont="1" applyNumberFormat="1">
      <alignment horizontal="center" shrinkToFit="0" wrapText="1"/>
    </xf>
    <xf borderId="15" fillId="5" fontId="49" numFmtId="164" xfId="0" applyAlignment="1" applyBorder="1" applyFont="1" applyNumberFormat="1">
      <alignment horizontal="left"/>
    </xf>
    <xf borderId="15" fillId="5" fontId="47" numFmtId="164" xfId="0" applyBorder="1" applyFont="1" applyNumberFormat="1"/>
    <xf borderId="15" fillId="5" fontId="47" numFmtId="165" xfId="0" applyAlignment="1" applyBorder="1" applyFont="1" applyNumberFormat="1">
      <alignment horizontal="right"/>
    </xf>
    <xf borderId="15" fillId="5" fontId="49" numFmtId="164" xfId="0" applyAlignment="1" applyBorder="1" applyFont="1" applyNumberFormat="1">
      <alignment horizontal="right"/>
    </xf>
    <xf borderId="15" fillId="5" fontId="46" numFmtId="165" xfId="0" applyAlignment="1" applyBorder="1" applyFont="1" applyNumberFormat="1">
      <alignment horizontal="right"/>
    </xf>
    <xf borderId="47" fillId="5" fontId="45" numFmtId="0" xfId="0" applyAlignment="1" applyBorder="1" applyFont="1">
      <alignment horizontal="right"/>
    </xf>
    <xf borderId="21" fillId="5" fontId="50" numFmtId="9" xfId="0" applyAlignment="1" applyBorder="1" applyFont="1" applyNumberFormat="1">
      <alignment horizontal="center"/>
    </xf>
    <xf borderId="47" fillId="5" fontId="50" numFmtId="0" xfId="0" applyBorder="1" applyFont="1"/>
    <xf borderId="15" fillId="5" fontId="51" numFmtId="164" xfId="0" applyBorder="1" applyFont="1" applyNumberFormat="1"/>
    <xf borderId="15" fillId="5" fontId="46" numFmtId="164" xfId="0" applyAlignment="1" applyBorder="1" applyFont="1" applyNumberFormat="1">
      <alignment horizontal="left"/>
    </xf>
    <xf borderId="15" fillId="5" fontId="47" numFmtId="165" xfId="0" applyAlignment="1" applyBorder="1" applyFont="1" applyNumberFormat="1">
      <alignment horizontal="left"/>
    </xf>
    <xf borderId="18" fillId="5" fontId="50" numFmtId="0" xfId="0" applyBorder="1" applyFont="1"/>
    <xf borderId="15" fillId="5" fontId="50" numFmtId="9" xfId="0" applyAlignment="1" applyBorder="1" applyFont="1" applyNumberFormat="1">
      <alignment horizontal="center"/>
    </xf>
    <xf borderId="15" fillId="5" fontId="50" numFmtId="0" xfId="0" applyBorder="1" applyFont="1"/>
    <xf borderId="15" fillId="5" fontId="22" numFmtId="0" xfId="0" applyAlignment="1" applyBorder="1" applyFont="1">
      <alignment horizontal="center"/>
    </xf>
    <xf borderId="15" fillId="5" fontId="47" numFmtId="164" xfId="0" applyAlignment="1" applyBorder="1" applyFont="1" applyNumberFormat="1">
      <alignment shrinkToFit="0" wrapText="1"/>
    </xf>
    <xf borderId="3" fillId="5" fontId="46" numFmtId="164" xfId="0" applyAlignment="1" applyBorder="1" applyFont="1" applyNumberFormat="1">
      <alignment horizontal="center" shrinkToFit="0" wrapText="1"/>
    </xf>
    <xf borderId="15" fillId="5" fontId="47" numFmtId="164" xfId="0" applyAlignment="1" applyBorder="1" applyFont="1" applyNumberFormat="1">
      <alignment horizontal="right"/>
    </xf>
    <xf borderId="21" fillId="5" fontId="50" numFmtId="167" xfId="0" applyAlignment="1" applyBorder="1" applyFont="1" applyNumberFormat="1">
      <alignment horizontal="center"/>
    </xf>
    <xf borderId="15" fillId="5" fontId="47" numFmtId="169" xfId="0" applyAlignment="1" applyBorder="1" applyFont="1" applyNumberFormat="1">
      <alignment horizontal="left"/>
    </xf>
    <xf borderId="15" fillId="5" fontId="52" numFmtId="0" xfId="0" applyBorder="1" applyFont="1"/>
    <xf borderId="15" fillId="5" fontId="46" numFmtId="0" xfId="0" applyBorder="1" applyFont="1"/>
    <xf borderId="15" fillId="5" fontId="46" numFmtId="9" xfId="0" applyAlignment="1" applyBorder="1" applyFont="1" applyNumberFormat="1">
      <alignment horizontal="right"/>
    </xf>
    <xf borderId="15" fillId="5" fontId="46" numFmtId="10" xfId="0" applyAlignment="1" applyBorder="1" applyFont="1" applyNumberFormat="1">
      <alignment horizontal="right"/>
    </xf>
    <xf borderId="15" fillId="5" fontId="46" numFmtId="10" xfId="0" applyBorder="1" applyFont="1" applyNumberFormat="1"/>
    <xf borderId="15" fillId="5" fontId="46" numFmtId="9" xfId="0" applyBorder="1" applyFont="1" applyNumberFormat="1"/>
    <xf borderId="15" fillId="5" fontId="47" numFmtId="4" xfId="0" applyAlignment="1" applyBorder="1" applyFont="1" applyNumberFormat="1">
      <alignment horizontal="right"/>
    </xf>
    <xf borderId="15" fillId="5" fontId="47" numFmtId="2" xfId="0" applyAlignment="1" applyBorder="1" applyFont="1" applyNumberFormat="1">
      <alignment horizontal="right"/>
    </xf>
    <xf borderId="15" fillId="5" fontId="53" numFmtId="4" xfId="0" applyAlignment="1" applyBorder="1" applyFont="1" applyNumberFormat="1">
      <alignment horizontal="right"/>
    </xf>
    <xf borderId="15" fillId="5" fontId="49" numFmtId="2" xfId="0" applyAlignment="1" applyBorder="1" applyFont="1" applyNumberFormat="1">
      <alignment horizontal="right"/>
    </xf>
    <xf borderId="15" fillId="5" fontId="47" numFmtId="10" xfId="0" applyAlignment="1" applyBorder="1" applyFont="1" applyNumberFormat="1">
      <alignment horizontal="right"/>
    </xf>
    <xf borderId="15" fillId="5" fontId="49" numFmtId="10" xfId="0" applyAlignment="1" applyBorder="1" applyFont="1" applyNumberFormat="1">
      <alignment horizontal="right"/>
    </xf>
    <xf borderId="15" fillId="5" fontId="54" numFmtId="164" xfId="0" applyAlignment="1" applyBorder="1" applyFont="1" applyNumberFormat="1">
      <alignment horizontal="left"/>
    </xf>
    <xf borderId="15" fillId="5" fontId="54" numFmtId="0" xfId="0" applyAlignment="1" applyBorder="1" applyFont="1">
      <alignment horizontal="left"/>
    </xf>
    <xf borderId="15" fillId="5" fontId="54" numFmtId="0" xfId="0" applyBorder="1" applyFont="1"/>
    <xf borderId="15" fillId="5" fontId="49" numFmtId="164" xfId="0" applyBorder="1" applyFont="1" applyNumberFormat="1"/>
    <xf borderId="92" fillId="5" fontId="55" numFmtId="0" xfId="0" applyAlignment="1" applyBorder="1" applyFont="1">
      <alignment shrinkToFit="0" vertical="top" wrapText="1"/>
    </xf>
    <xf borderId="0" fillId="0" fontId="56" numFmtId="0" xfId="0" applyFont="1"/>
    <xf borderId="1" fillId="11" fontId="57" numFmtId="0" xfId="0" applyAlignment="1" applyBorder="1" applyFill="1" applyFont="1">
      <alignment horizontal="center"/>
    </xf>
    <xf borderId="0" fillId="0" fontId="22" numFmtId="0" xfId="0" applyAlignment="1" applyFont="1">
      <alignment horizontal="center"/>
    </xf>
    <xf borderId="15" fillId="4" fontId="20" numFmtId="0" xfId="0" applyBorder="1" applyFont="1"/>
    <xf borderId="15" fillId="4" fontId="19" numFmtId="0" xfId="0" applyAlignment="1" applyBorder="1" applyFont="1">
      <alignment horizontal="center"/>
    </xf>
    <xf borderId="0" fillId="0" fontId="43" numFmtId="164" xfId="0" applyAlignment="1" applyFont="1" applyNumberFormat="1">
      <alignment horizontal="right"/>
    </xf>
    <xf borderId="15" fillId="4" fontId="45" numFmtId="164" xfId="0" applyAlignment="1" applyBorder="1" applyFont="1" applyNumberFormat="1">
      <alignment horizontal="right"/>
    </xf>
    <xf borderId="0" fillId="0" fontId="58" numFmtId="0" xfId="0" applyAlignment="1" applyFont="1">
      <alignment horizontal="center"/>
    </xf>
    <xf borderId="0" fillId="0" fontId="43" numFmtId="0" xfId="0" applyFont="1"/>
    <xf borderId="5" fillId="0" fontId="59" numFmtId="0" xfId="0" applyAlignment="1" applyBorder="1" applyFont="1">
      <alignment horizontal="left"/>
    </xf>
    <xf borderId="0" fillId="0" fontId="45" numFmtId="164" xfId="0" applyAlignment="1" applyFont="1" applyNumberFormat="1">
      <alignment horizontal="right"/>
    </xf>
    <xf borderId="6" fillId="0" fontId="45" numFmtId="10" xfId="0" applyBorder="1" applyFont="1" applyNumberFormat="1"/>
    <xf borderId="0" fillId="0" fontId="22" numFmtId="164" xfId="0" applyFont="1" applyNumberFormat="1"/>
    <xf borderId="0" fillId="0" fontId="60" numFmtId="0" xfId="0" applyFont="1"/>
    <xf borderId="3" fillId="0" fontId="61" numFmtId="0" xfId="0" applyAlignment="1" applyBorder="1" applyFont="1">
      <alignment horizontal="center" shrinkToFit="0" vertical="center" wrapText="1"/>
    </xf>
    <xf borderId="3" fillId="12" fontId="61" numFmtId="0" xfId="0" applyAlignment="1" applyBorder="1" applyFill="1" applyFont="1">
      <alignment horizontal="center" shrinkToFit="0" vertical="center" wrapText="1"/>
    </xf>
    <xf borderId="3" fillId="12" fontId="20" numFmtId="0" xfId="0" applyAlignment="1" applyBorder="1" applyFont="1">
      <alignment horizontal="center" shrinkToFit="0" vertical="center" wrapText="1"/>
    </xf>
    <xf borderId="5" fillId="0" fontId="45" numFmtId="0" xfId="0" applyAlignment="1" applyBorder="1" applyFont="1">
      <alignment horizontal="left"/>
    </xf>
    <xf borderId="3" fillId="12" fontId="62" numFmtId="10" xfId="0" applyBorder="1" applyFont="1" applyNumberFormat="1"/>
    <xf borderId="3" fillId="12" fontId="46" numFmtId="164" xfId="0" applyAlignment="1" applyBorder="1" applyFont="1" applyNumberFormat="1">
      <alignment horizontal="right"/>
    </xf>
    <xf borderId="0" fillId="0" fontId="54" numFmtId="164" xfId="0" applyAlignment="1" applyFont="1" applyNumberFormat="1">
      <alignment horizontal="left"/>
    </xf>
    <xf borderId="0" fillId="0" fontId="47" numFmtId="10" xfId="0" applyAlignment="1" applyFont="1" applyNumberFormat="1">
      <alignment horizontal="right"/>
    </xf>
    <xf borderId="0" fillId="0" fontId="54" numFmtId="0" xfId="0" applyAlignment="1" applyFont="1">
      <alignment horizontal="left"/>
    </xf>
    <xf borderId="0" fillId="0" fontId="54" numFmtId="0" xfId="0" applyFont="1"/>
    <xf borderId="0" fillId="0" fontId="49" numFmtId="10" xfId="0" applyAlignment="1" applyFont="1" applyNumberFormat="1">
      <alignment horizontal="right"/>
    </xf>
    <xf borderId="0" fillId="0" fontId="63" numFmtId="0" xfId="0" applyAlignment="1" applyFont="1">
      <alignment horizontal="center"/>
    </xf>
    <xf borderId="0" fillId="0" fontId="63" numFmtId="0" xfId="0" applyFont="1"/>
    <xf borderId="0" fillId="0" fontId="64" numFmtId="0" xfId="0" applyFont="1"/>
    <xf borderId="0" fillId="0" fontId="65" numFmtId="0" xfId="0" applyFont="1"/>
    <xf borderId="0" fillId="0" fontId="66" numFmtId="0" xfId="0" applyAlignment="1" applyFont="1">
      <alignment horizontal="center"/>
    </xf>
    <xf borderId="0" fillId="0" fontId="66" numFmtId="184" xfId="0" applyFont="1" applyNumberFormat="1"/>
    <xf borderId="0" fillId="0" fontId="66" numFmtId="0" xfId="0" applyFont="1"/>
    <xf borderId="0" fillId="0" fontId="66" numFmtId="10" xfId="0" applyFont="1" applyNumberFormat="1"/>
    <xf borderId="0" fillId="0" fontId="66" numFmtId="3" xfId="0" applyFont="1" applyNumberFormat="1"/>
    <xf borderId="0" fillId="0" fontId="66" numFmtId="0" xfId="0" applyAlignment="1" applyFont="1">
      <alignment horizontal="center" shrinkToFit="0" wrapText="1"/>
    </xf>
    <xf borderId="0" fillId="0" fontId="66" numFmtId="185" xfId="0" applyFont="1" applyNumberFormat="1"/>
    <xf borderId="0" fillId="0" fontId="64" numFmtId="169" xfId="0" applyFont="1" applyNumberFormat="1"/>
    <xf borderId="0" fillId="0" fontId="14" numFmtId="0" xfId="0" applyAlignment="1" applyFont="1">
      <alignment horizontal="center"/>
    </xf>
    <xf borderId="0" fillId="0" fontId="22" numFmtId="180" xfId="0" applyAlignment="1" applyFont="1" applyNumberFormat="1">
      <alignment horizontal="center"/>
    </xf>
    <xf borderId="33" fillId="0" fontId="22" numFmtId="180" xfId="0" applyAlignment="1" applyBorder="1" applyFont="1" applyNumberFormat="1">
      <alignment horizontal="center"/>
    </xf>
    <xf borderId="33" fillId="0" fontId="22" numFmtId="180" xfId="0" applyBorder="1" applyFont="1" applyNumberFormat="1"/>
    <xf borderId="1" fillId="11" fontId="67" numFmtId="0" xfId="0" applyAlignment="1" applyBorder="1" applyFont="1">
      <alignment horizontal="center"/>
    </xf>
    <xf borderId="0" fillId="0" fontId="22" numFmtId="180" xfId="0" applyFont="1" applyNumberFormat="1"/>
    <xf borderId="0" fillId="0" fontId="22" numFmtId="4" xfId="0" applyAlignment="1" applyFont="1" applyNumberForma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Calibri"/>
              </a:defRPr>
            </a:pPr>
            <a:r>
              <a:rPr b="0" i="0" sz="1400">
                <a:solidFill>
                  <a:srgbClr val="757575"/>
                </a:solidFill>
                <a:latin typeface="Calibri"/>
              </a:rPr>
              <a:t>Annual Cash Flow Comparison (Investor vs. Sponsor) </a:t>
            </a:r>
          </a:p>
        </c:rich>
      </c:tx>
      <c:overlay val="0"/>
    </c:title>
    <c:plotArea>
      <c:layout/>
      <c:barChart>
        <c:barDir val="col"/>
        <c:ser>
          <c:idx val="0"/>
          <c:order val="0"/>
          <c:spPr>
            <a:solidFill>
              <a:schemeClr val="accent1"/>
            </a:solidFill>
            <a:ln cmpd="sng">
              <a:solidFill>
                <a:srgbClr val="000000"/>
              </a:solidFill>
            </a:ln>
          </c:spPr>
          <c:cat>
            <c:strRef>
              <c:f>'Pro Forma Detail'!$E$3:$N$3</c:f>
            </c:strRef>
          </c:cat>
          <c:val>
            <c:numRef>
              <c:f>'Pro Forma Detail'!$D$93:$N$93</c:f>
              <c:numCache/>
            </c:numRef>
          </c:val>
        </c:ser>
        <c:ser>
          <c:idx val="1"/>
          <c:order val="1"/>
          <c:spPr>
            <a:solidFill>
              <a:schemeClr val="accent2"/>
            </a:solidFill>
            <a:ln cmpd="sng">
              <a:solidFill>
                <a:srgbClr val="000000"/>
              </a:solidFill>
            </a:ln>
          </c:spPr>
          <c:cat>
            <c:strRef>
              <c:f>'Pro Forma Detail'!$E$3:$N$3</c:f>
            </c:strRef>
          </c:cat>
          <c:val>
            <c:numRef>
              <c:f>'Pro Forma Detail'!$D$96:$N$96</c:f>
              <c:numCache/>
            </c:numRef>
          </c:val>
        </c:ser>
        <c:axId val="1307935421"/>
        <c:axId val="241098974"/>
      </c:barChart>
      <c:catAx>
        <c:axId val="130793542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sz="900">
                <a:solidFill>
                  <a:srgbClr val="000000"/>
                </a:solidFill>
                <a:latin typeface="Calibri"/>
              </a:defRPr>
            </a:pPr>
          </a:p>
        </c:txPr>
        <c:crossAx val="241098974"/>
      </c:catAx>
      <c:valAx>
        <c:axId val="24109897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00000"/>
                </a:solidFill>
                <a:latin typeface="Calibri"/>
              </a:defRPr>
            </a:pPr>
          </a:p>
        </c:txPr>
        <c:crossAx val="1307935421"/>
      </c:valAx>
      <c:spPr>
        <a:solidFill>
          <a:schemeClr val="accent6"/>
        </a:solidFill>
      </c:spPr>
    </c:plotArea>
    <c:legend>
      <c:legendPos val="b"/>
      <c:overlay val="0"/>
      <c:txPr>
        <a:bodyPr/>
        <a:lstStyle/>
        <a:p>
          <a:pPr lvl="0">
            <a:defRPr b="0" i="0" sz="900">
              <a:solidFill>
                <a:srgbClr val="1A1A1A"/>
              </a:solidFill>
              <a:latin typeface="Calibri"/>
            </a:defRPr>
          </a:pPr>
        </a:p>
      </c:txPr>
    </c:legend>
    <c:plotVisOnly val="1"/>
  </c:chart>
</c:chartSpace>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447675</xdr:colOff>
      <xdr:row>3</xdr:row>
      <xdr:rowOff>-28575</xdr:rowOff>
    </xdr:from>
    <xdr:ext cx="5895975" cy="685800"/>
    <xdr:sp>
      <xdr:nvSpPr>
        <xdr:cNvPr id="3" name="Shape 3"/>
        <xdr:cNvSpPr/>
      </xdr:nvSpPr>
      <xdr:spPr>
        <a:xfrm>
          <a:off x="2421825" y="3460913"/>
          <a:ext cx="5848350" cy="638175"/>
        </a:xfrm>
        <a:prstGeom prst="rect">
          <a:avLst/>
        </a:prstGeom>
        <a:solidFill>
          <a:srgbClr val="FFFF00"/>
        </a:solidFill>
        <a:ln cap="flat" cmpd="sng" w="47625">
          <a:solidFill>
            <a:schemeClr val="hlink"/>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2200"/>
            <a:buFont typeface="Arial"/>
            <a:buNone/>
          </a:pPr>
          <a:r>
            <a:rPr i="0" lang="en-US" sz="2200" u="none" strike="noStrike">
              <a:solidFill>
                <a:srgbClr val="000000"/>
              </a:solidFill>
              <a:latin typeface="Arial"/>
              <a:ea typeface="Arial"/>
              <a:cs typeface="Arial"/>
              <a:sym typeface="Arial"/>
            </a:rPr>
            <a:t>PLEASE DO NOT TYPE INTO THIS SHEET</a:t>
          </a:r>
          <a:endParaRPr sz="1400"/>
        </a:p>
      </xdr:txBody>
    </xdr:sp>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238125</xdr:colOff>
      <xdr:row>0</xdr:row>
      <xdr:rowOff>-38100</xdr:rowOff>
    </xdr:from>
    <xdr:ext cx="5924550" cy="600075"/>
    <xdr:sp>
      <xdr:nvSpPr>
        <xdr:cNvPr id="4" name="Shape 4"/>
        <xdr:cNvSpPr/>
      </xdr:nvSpPr>
      <xdr:spPr>
        <a:xfrm>
          <a:off x="2407538" y="3503775"/>
          <a:ext cx="5876925" cy="552450"/>
        </a:xfrm>
        <a:prstGeom prst="rect">
          <a:avLst/>
        </a:prstGeom>
        <a:solidFill>
          <a:srgbClr val="FFFF00"/>
        </a:solidFill>
        <a:ln cap="flat" cmpd="sng" w="47625">
          <a:solidFill>
            <a:schemeClr val="hlink"/>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2200"/>
            <a:buFont typeface="Arial"/>
            <a:buNone/>
          </a:pPr>
          <a:r>
            <a:rPr i="0" lang="en-US" sz="2200" u="none" strike="noStrike">
              <a:solidFill>
                <a:srgbClr val="000000"/>
              </a:solidFill>
              <a:latin typeface="Arial"/>
              <a:ea typeface="Arial"/>
              <a:cs typeface="Arial"/>
              <a:sym typeface="Arial"/>
            </a:rPr>
            <a:t>PLEASE DO NOT TYPE INTO THIS SHEET</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9525</xdr:rowOff>
    </xdr:from>
    <xdr:ext cx="6753225" cy="3876675"/>
    <xdr:graphicFrame>
      <xdr:nvGraphicFramePr>
        <xdr:cNvPr id="1226281410"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99"/>
    <pageSetUpPr/>
  </sheetPr>
  <sheetViews>
    <sheetView showGridLines="0" workbookViewId="0"/>
  </sheetViews>
  <sheetFormatPr customHeight="1" defaultColWidth="12.63" defaultRowHeight="15.0"/>
  <cols>
    <col customWidth="1" min="1" max="1" width="2.75"/>
    <col customWidth="1" min="2" max="2" width="20.88"/>
    <col customWidth="1" min="3" max="9" width="9.13"/>
    <col customWidth="1" min="10" max="15" width="8.75"/>
    <col customWidth="1" min="16" max="26" width="14.38"/>
  </cols>
  <sheetData>
    <row r="1" ht="12.75" customHeight="1">
      <c r="A1" s="1" t="s">
        <v>0</v>
      </c>
      <c r="B1" s="2"/>
      <c r="C1" s="2"/>
      <c r="D1" s="2"/>
      <c r="E1" s="2"/>
      <c r="F1" s="2"/>
      <c r="G1" s="2"/>
      <c r="H1" s="2"/>
      <c r="I1" s="2"/>
    </row>
    <row r="2" ht="40.5" customHeight="1">
      <c r="A2" s="1"/>
      <c r="B2" s="3" t="s">
        <v>1</v>
      </c>
    </row>
    <row r="3" ht="12.75" customHeight="1">
      <c r="A3" s="1"/>
      <c r="B3" s="4" t="s">
        <v>2</v>
      </c>
      <c r="C3" s="5"/>
      <c r="D3" s="5"/>
      <c r="E3" s="5"/>
      <c r="F3" s="5"/>
      <c r="G3" s="5"/>
      <c r="H3" s="5"/>
      <c r="I3" s="5"/>
      <c r="J3" s="5"/>
      <c r="K3" s="5"/>
      <c r="L3" s="5"/>
      <c r="M3" s="5"/>
      <c r="N3" s="5"/>
      <c r="O3" s="5"/>
    </row>
    <row r="4" ht="12.75" customHeight="1">
      <c r="A4" s="1"/>
      <c r="B4" s="2"/>
      <c r="C4" s="2"/>
      <c r="D4" s="2"/>
      <c r="E4" s="2"/>
      <c r="F4" s="2"/>
      <c r="G4" s="2"/>
      <c r="H4" s="2"/>
      <c r="I4" s="2"/>
    </row>
    <row r="5" ht="12.75" customHeight="1">
      <c r="A5" s="1"/>
      <c r="B5" s="6" t="s">
        <v>3</v>
      </c>
      <c r="C5" s="7" t="s">
        <v>4</v>
      </c>
      <c r="D5" s="8"/>
      <c r="E5" s="8"/>
      <c r="F5" s="8"/>
      <c r="G5" s="8"/>
      <c r="H5" s="8"/>
      <c r="I5" s="8"/>
      <c r="J5" s="8"/>
      <c r="K5" s="8"/>
      <c r="L5" s="8"/>
      <c r="M5" s="8"/>
      <c r="N5" s="8"/>
      <c r="O5" s="9"/>
    </row>
    <row r="6" ht="24.75" customHeight="1">
      <c r="A6" s="1"/>
      <c r="B6" s="10" t="s">
        <v>5</v>
      </c>
      <c r="C6" s="11" t="s">
        <v>6</v>
      </c>
      <c r="D6" s="8"/>
      <c r="E6" s="8"/>
      <c r="F6" s="8"/>
      <c r="G6" s="8"/>
      <c r="H6" s="8"/>
      <c r="I6" s="8"/>
      <c r="J6" s="8"/>
      <c r="K6" s="8"/>
      <c r="L6" s="8"/>
      <c r="M6" s="8"/>
      <c r="N6" s="8"/>
      <c r="O6" s="9"/>
    </row>
    <row r="7" ht="32.25" customHeight="1">
      <c r="A7" s="1"/>
      <c r="B7" s="10" t="s">
        <v>7</v>
      </c>
      <c r="C7" s="12" t="s">
        <v>8</v>
      </c>
      <c r="D7" s="8"/>
      <c r="E7" s="8"/>
      <c r="F7" s="8"/>
      <c r="G7" s="8"/>
      <c r="H7" s="8"/>
      <c r="I7" s="8"/>
      <c r="J7" s="8"/>
      <c r="K7" s="8"/>
      <c r="L7" s="8"/>
      <c r="M7" s="8"/>
      <c r="N7" s="8"/>
      <c r="O7" s="9"/>
    </row>
    <row r="8" ht="32.25" customHeight="1">
      <c r="A8" s="1"/>
      <c r="B8" s="10" t="s">
        <v>9</v>
      </c>
      <c r="C8" s="13" t="s">
        <v>10</v>
      </c>
      <c r="D8" s="8"/>
      <c r="E8" s="8"/>
      <c r="F8" s="8"/>
      <c r="G8" s="8"/>
      <c r="H8" s="8"/>
      <c r="I8" s="8"/>
      <c r="J8" s="8"/>
      <c r="K8" s="8"/>
      <c r="L8" s="8"/>
      <c r="M8" s="8"/>
      <c r="N8" s="8"/>
      <c r="O8" s="9"/>
    </row>
    <row r="9" ht="24.75" customHeight="1">
      <c r="A9" s="1"/>
      <c r="B9" s="10" t="s">
        <v>11</v>
      </c>
      <c r="C9" s="14" t="s">
        <v>12</v>
      </c>
      <c r="D9" s="8"/>
      <c r="E9" s="8"/>
      <c r="F9" s="8"/>
      <c r="G9" s="8"/>
      <c r="H9" s="8"/>
      <c r="I9" s="8"/>
      <c r="J9" s="8"/>
      <c r="K9" s="8"/>
      <c r="L9" s="8"/>
      <c r="M9" s="8"/>
      <c r="N9" s="8"/>
      <c r="O9" s="9"/>
    </row>
    <row r="10" ht="24.75" customHeight="1">
      <c r="A10" s="1"/>
      <c r="B10" s="10" t="s">
        <v>13</v>
      </c>
      <c r="C10" s="14" t="s">
        <v>14</v>
      </c>
      <c r="D10" s="8"/>
      <c r="E10" s="8"/>
      <c r="F10" s="8"/>
      <c r="G10" s="8"/>
      <c r="H10" s="8"/>
      <c r="I10" s="8"/>
      <c r="J10" s="8"/>
      <c r="K10" s="8"/>
      <c r="L10" s="8"/>
      <c r="M10" s="8"/>
      <c r="N10" s="8"/>
      <c r="O10" s="9"/>
    </row>
    <row r="11" ht="24.75" customHeight="1">
      <c r="A11" s="1"/>
      <c r="B11" s="10" t="s">
        <v>15</v>
      </c>
      <c r="C11" s="14" t="s">
        <v>16</v>
      </c>
      <c r="D11" s="8"/>
      <c r="E11" s="8"/>
      <c r="F11" s="8"/>
      <c r="G11" s="8"/>
      <c r="H11" s="8"/>
      <c r="I11" s="8"/>
      <c r="J11" s="8"/>
      <c r="K11" s="8"/>
      <c r="L11" s="8"/>
      <c r="M11" s="8"/>
      <c r="N11" s="8"/>
      <c r="O11" s="9"/>
    </row>
    <row r="12" ht="24.75" customHeight="1">
      <c r="A12" s="1"/>
      <c r="B12" s="10" t="s">
        <v>17</v>
      </c>
      <c r="C12" s="14" t="s">
        <v>18</v>
      </c>
      <c r="D12" s="8"/>
      <c r="E12" s="8"/>
      <c r="F12" s="8"/>
      <c r="G12" s="8"/>
      <c r="H12" s="8"/>
      <c r="I12" s="8"/>
      <c r="J12" s="8"/>
      <c r="K12" s="8"/>
      <c r="L12" s="8"/>
      <c r="M12" s="8"/>
      <c r="N12" s="8"/>
      <c r="O12" s="9"/>
    </row>
    <row r="13" ht="24.75" customHeight="1">
      <c r="A13" s="1"/>
      <c r="B13" s="10" t="s">
        <v>19</v>
      </c>
      <c r="C13" s="14" t="s">
        <v>20</v>
      </c>
      <c r="D13" s="8"/>
      <c r="E13" s="8"/>
      <c r="F13" s="8"/>
      <c r="G13" s="8"/>
      <c r="H13" s="8"/>
      <c r="I13" s="8"/>
      <c r="J13" s="8"/>
      <c r="K13" s="8"/>
      <c r="L13" s="8"/>
      <c r="M13" s="8"/>
      <c r="N13" s="8"/>
      <c r="O13" s="9"/>
    </row>
    <row r="14" ht="12.75" customHeight="1">
      <c r="A14" s="1"/>
      <c r="B14" s="2"/>
      <c r="C14" s="2"/>
      <c r="D14" s="2"/>
      <c r="E14" s="2"/>
      <c r="F14" s="2"/>
      <c r="G14" s="2"/>
      <c r="H14" s="2"/>
      <c r="I14" s="2"/>
    </row>
    <row r="15" ht="12.75" customHeight="1">
      <c r="A15" s="1"/>
      <c r="B15" s="15"/>
      <c r="C15" s="16"/>
      <c r="D15" s="5"/>
      <c r="E15" s="5"/>
      <c r="F15" s="5"/>
      <c r="G15" s="5"/>
      <c r="H15" s="5"/>
      <c r="I15" s="5"/>
      <c r="J15" s="5"/>
      <c r="K15" s="5"/>
      <c r="L15" s="5"/>
      <c r="M15" s="5"/>
      <c r="N15" s="5"/>
      <c r="O15" s="5"/>
    </row>
    <row r="16" ht="12.75" customHeight="1">
      <c r="A16" s="1"/>
      <c r="B16" s="2"/>
      <c r="C16" s="2"/>
      <c r="D16" s="2"/>
      <c r="E16" s="2"/>
      <c r="F16" s="2"/>
      <c r="G16" s="2"/>
      <c r="H16" s="2"/>
      <c r="I16" s="2"/>
    </row>
    <row r="17" ht="46.5" customHeight="1">
      <c r="A17" s="1"/>
      <c r="B17" s="17" t="s">
        <v>21</v>
      </c>
    </row>
    <row r="18" ht="12.75" customHeight="1">
      <c r="A18" s="1"/>
      <c r="B18" s="2"/>
      <c r="C18" s="2"/>
      <c r="D18" s="2"/>
      <c r="E18" s="2"/>
      <c r="F18" s="2"/>
      <c r="G18" s="2"/>
      <c r="H18" s="2"/>
      <c r="I18"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C10:O10"/>
    <mergeCell ref="C11:O11"/>
    <mergeCell ref="C12:O12"/>
    <mergeCell ref="C13:O13"/>
    <mergeCell ref="C15:O15"/>
    <mergeCell ref="B17:O17"/>
    <mergeCell ref="B2:O2"/>
    <mergeCell ref="B3:O3"/>
    <mergeCell ref="C5:O5"/>
    <mergeCell ref="C6:O6"/>
    <mergeCell ref="C7:O7"/>
    <mergeCell ref="C8:O8"/>
    <mergeCell ref="C9:O9"/>
  </mergeCells>
  <conditionalFormatting sqref="B5:C13 D8:O8">
    <cfRule type="colorScale" priority="1">
      <colorScale>
        <cfvo type="min"/>
        <cfvo type="percentile" val="50"/>
        <cfvo type="max"/>
        <color rgb="FF5A8AC6"/>
        <color rgb="FFFCFCFF"/>
        <color rgb="FFF8696B"/>
      </colorScale>
    </cfRule>
  </conditionalFormatting>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showGridLines="0" workbookViewId="0">
      <pane ySplit="10.0" topLeftCell="A11" activePane="bottomLeft" state="frozen"/>
      <selection activeCell="B12" sqref="B12" pane="bottomLeft"/>
    </sheetView>
  </sheetViews>
  <sheetFormatPr customHeight="1" defaultColWidth="12.63" defaultRowHeight="15.0"/>
  <cols>
    <col customWidth="1" min="1" max="1" width="25.63"/>
    <col customWidth="1" min="2" max="2" width="16.0"/>
    <col customWidth="1" min="3" max="3" width="10.88"/>
    <col customWidth="1" min="4" max="4" width="10.75"/>
    <col customWidth="1" min="5" max="5" width="17.75"/>
    <col customWidth="1" min="6" max="7" width="13.63"/>
    <col customWidth="1" min="8" max="8" width="12.75"/>
    <col customWidth="1" min="9" max="9" width="9.13"/>
    <col customWidth="1" min="10" max="11" width="11.75"/>
    <col customWidth="1" min="12" max="12" width="11.0"/>
    <col customWidth="1" min="13" max="13" width="13.25"/>
    <col customWidth="1" min="14" max="14" width="11.88"/>
    <col customWidth="1" min="15" max="15" width="20.63"/>
    <col customWidth="1" min="16" max="16" width="14.25"/>
    <col customWidth="1" min="17" max="26" width="14.38"/>
  </cols>
  <sheetData>
    <row r="1" ht="19.5" customHeight="1">
      <c r="A1" s="360" t="s">
        <v>214</v>
      </c>
      <c r="B1" s="361"/>
      <c r="C1" s="361"/>
      <c r="D1" s="362"/>
      <c r="E1" s="363"/>
      <c r="F1" s="364"/>
      <c r="G1" s="363"/>
      <c r="H1" s="363"/>
      <c r="I1" s="363"/>
      <c r="J1" s="365"/>
      <c r="K1" s="365"/>
      <c r="L1" s="366"/>
      <c r="M1" s="367"/>
      <c r="N1" s="367"/>
      <c r="O1" s="367"/>
      <c r="P1" s="1"/>
    </row>
    <row r="2" ht="12.75" customHeight="1">
      <c r="A2" s="364"/>
      <c r="B2" s="371"/>
      <c r="C2" s="372"/>
      <c r="D2" s="372"/>
      <c r="E2" s="372"/>
      <c r="F2" s="363"/>
      <c r="G2" s="363"/>
      <c r="H2" s="363"/>
      <c r="I2" s="363"/>
      <c r="J2" s="365"/>
      <c r="K2" s="365"/>
      <c r="L2" s="366"/>
      <c r="M2" s="367"/>
      <c r="N2" s="367"/>
      <c r="O2" s="367"/>
      <c r="P2" s="1"/>
    </row>
    <row r="3" ht="12.75" customHeight="1">
      <c r="A3" s="373" t="s">
        <v>215</v>
      </c>
      <c r="B3" s="374">
        <f>HLOOKUP('Pro Forma Detail'!D66,'Pro Forma Detail'!E3:N59,57,FALSE)</f>
        <v>119869766.4</v>
      </c>
      <c r="C3" s="375" t="s">
        <v>216</v>
      </c>
      <c r="D3" s="376"/>
      <c r="E3" s="377">
        <f>SUM(C:C)</f>
        <v>56299023.6</v>
      </c>
      <c r="F3" s="1"/>
      <c r="G3" s="378" t="s">
        <v>217</v>
      </c>
      <c r="H3" s="9"/>
      <c r="I3" s="1"/>
      <c r="J3" s="365"/>
      <c r="K3" s="365"/>
      <c r="L3" s="366"/>
      <c r="M3" s="367"/>
      <c r="N3" s="367"/>
      <c r="O3" s="367"/>
      <c r="P3" s="1"/>
    </row>
    <row r="4" ht="12.75" customHeight="1">
      <c r="A4" s="380" t="s">
        <v>219</v>
      </c>
      <c r="B4" s="381">
        <f>'Global Inputs'!C44</f>
        <v>30</v>
      </c>
      <c r="C4" s="382" t="s">
        <v>220</v>
      </c>
      <c r="D4" s="9"/>
      <c r="E4" s="383">
        <f>SUM(D:D)</f>
        <v>119869766.4</v>
      </c>
      <c r="F4" s="1"/>
      <c r="G4" s="384">
        <f>PMT(B5/B6,B6*B4,-B3)</f>
        <v>489357.75</v>
      </c>
      <c r="H4" s="9"/>
      <c r="I4" s="1"/>
      <c r="J4" s="365"/>
      <c r="K4" s="365"/>
      <c r="L4" s="366"/>
      <c r="M4" s="367"/>
      <c r="N4" s="367"/>
      <c r="O4" s="367"/>
      <c r="P4" s="1"/>
    </row>
    <row r="5" ht="12.75" customHeight="1">
      <c r="A5" s="380" t="s">
        <v>221</v>
      </c>
      <c r="B5" s="386">
        <f>'Pro Forma Detail'!D67</f>
        <v>0.0275</v>
      </c>
      <c r="C5" s="387" t="s">
        <v>222</v>
      </c>
      <c r="D5" s="388"/>
      <c r="E5" s="389">
        <f>E4+E3</f>
        <v>176168790</v>
      </c>
      <c r="F5" s="363"/>
      <c r="G5" s="363"/>
      <c r="H5" s="363"/>
      <c r="I5" s="363"/>
      <c r="J5" s="365"/>
      <c r="K5" s="365"/>
      <c r="L5" s="366"/>
      <c r="M5" s="367"/>
      <c r="N5" s="367"/>
      <c r="O5" s="367"/>
      <c r="P5" s="1"/>
    </row>
    <row r="6" ht="12.75" customHeight="1">
      <c r="A6" s="390" t="s">
        <v>223</v>
      </c>
      <c r="B6" s="381">
        <f>'Global Inputs'!C45</f>
        <v>12</v>
      </c>
      <c r="C6" s="1"/>
      <c r="D6" s="1"/>
      <c r="E6" s="1"/>
      <c r="F6" s="363"/>
      <c r="G6" s="363"/>
      <c r="H6" s="363"/>
      <c r="I6" s="363"/>
      <c r="J6" s="365"/>
      <c r="K6" s="365"/>
      <c r="L6" s="366"/>
      <c r="M6" s="367"/>
      <c r="N6" s="367"/>
      <c r="O6" s="367"/>
      <c r="P6" s="1"/>
    </row>
    <row r="7" ht="12.75" customHeight="1">
      <c r="A7" s="390" t="s">
        <v>224</v>
      </c>
      <c r="B7" s="391">
        <f>DATE(YEAR(Debt!B8)+'Pro Forma Detail'!D66,1,1)</f>
        <v>45658</v>
      </c>
      <c r="C7" s="392"/>
      <c r="D7" s="392"/>
      <c r="E7" s="392"/>
      <c r="F7" s="363"/>
      <c r="G7" s="363"/>
      <c r="H7" s="363"/>
      <c r="I7" s="363"/>
      <c r="J7" s="365"/>
      <c r="K7" s="365"/>
      <c r="L7" s="366"/>
      <c r="M7" s="367"/>
      <c r="N7" s="367"/>
      <c r="O7" s="367"/>
      <c r="P7" s="1"/>
    </row>
    <row r="8" ht="12.75" customHeight="1">
      <c r="A8" s="395" t="s">
        <v>226</v>
      </c>
      <c r="B8" s="396">
        <v>44197.0</v>
      </c>
      <c r="C8" s="363"/>
      <c r="D8" s="363"/>
      <c r="E8" s="363"/>
      <c r="F8" s="363"/>
      <c r="G8" s="363"/>
      <c r="H8" s="363"/>
      <c r="I8" s="363"/>
      <c r="J8" s="365"/>
      <c r="K8" s="365"/>
      <c r="L8" s="366"/>
      <c r="M8" s="367"/>
      <c r="N8" s="367"/>
      <c r="O8" s="367"/>
      <c r="P8" s="1"/>
    </row>
    <row r="9" ht="12.75" customHeight="1">
      <c r="A9" s="364"/>
      <c r="B9" s="363"/>
      <c r="C9" s="363"/>
      <c r="D9" s="363"/>
      <c r="E9" s="363"/>
      <c r="F9" s="363"/>
      <c r="G9" s="363"/>
      <c r="H9" s="363"/>
      <c r="I9" s="363"/>
      <c r="J9" s="365"/>
      <c r="K9" s="365"/>
      <c r="L9" s="366"/>
      <c r="M9" s="367"/>
      <c r="N9" s="367"/>
      <c r="O9" s="367"/>
      <c r="P9" s="1"/>
    </row>
    <row r="10" ht="12.75" customHeight="1">
      <c r="A10" s="397" t="s">
        <v>227</v>
      </c>
      <c r="B10" s="398" t="s">
        <v>228</v>
      </c>
      <c r="C10" s="398" t="s">
        <v>229</v>
      </c>
      <c r="D10" s="398" t="s">
        <v>230</v>
      </c>
      <c r="E10" s="398" t="s">
        <v>231</v>
      </c>
      <c r="F10" s="399" t="s">
        <v>232</v>
      </c>
      <c r="G10" s="398" t="s">
        <v>233</v>
      </c>
      <c r="H10" s="398" t="s">
        <v>234</v>
      </c>
      <c r="I10" s="400"/>
      <c r="J10" s="401" t="s">
        <v>235</v>
      </c>
      <c r="K10" s="402" t="s">
        <v>236</v>
      </c>
      <c r="L10" s="403" t="s">
        <v>237</v>
      </c>
      <c r="M10" s="367" t="s">
        <v>238</v>
      </c>
      <c r="N10" s="367" t="s">
        <v>239</v>
      </c>
      <c r="O10" s="367" t="s">
        <v>240</v>
      </c>
      <c r="P10" s="1"/>
    </row>
    <row r="11" ht="12.75" customHeight="1">
      <c r="A11" s="1">
        <v>0.0</v>
      </c>
      <c r="B11" s="1"/>
      <c r="C11" s="176"/>
      <c r="D11" s="176"/>
      <c r="E11" s="176">
        <f>$B$3</f>
        <v>119869766.4</v>
      </c>
      <c r="F11" s="176"/>
      <c r="G11" s="176"/>
      <c r="H11" s="1"/>
      <c r="I11" s="1">
        <f t="shared" ref="I11:I1000" si="1">IF($B$4*$B$6&lt;A11,"",A11)</f>
        <v>0</v>
      </c>
      <c r="J11" s="406"/>
      <c r="K11" s="406"/>
      <c r="L11" s="366"/>
      <c r="M11" s="407" t="str">
        <f t="shared" ref="M11:M1000" si="2">D11</f>
        <v/>
      </c>
      <c r="N11" s="407" t="str">
        <f t="shared" ref="N11:N1000" si="3">C11</f>
        <v/>
      </c>
      <c r="O11" s="407">
        <f t="shared" ref="O11:O1000" si="4">E11</f>
        <v>119869766.4</v>
      </c>
      <c r="P11" s="1"/>
    </row>
    <row r="12" ht="12.75" customHeight="1">
      <c r="A12" s="1">
        <v>1.0</v>
      </c>
      <c r="B12" s="408">
        <f t="shared" ref="B12:B1000" si="5">IF(I12&gt;($B$4*$B$6),"",PMT(H12/$B$6,COUNT($I12:I$1000),-E11))</f>
        <v>489357.75</v>
      </c>
      <c r="C12" s="408">
        <f t="shared" ref="C12:C1000" si="6">IFERROR(E11*H12/$B$6,0)</f>
        <v>274701.548</v>
      </c>
      <c r="D12" s="408">
        <f t="shared" ref="D12:D1000" si="7">IF(A12&gt;($B$4*$B$6),"",B12-C12)</f>
        <v>214656.202</v>
      </c>
      <c r="E12" s="176">
        <f t="shared" ref="E12:E1000" si="8">IF(A12&gt;($B$4*$B$6),"",E11-D12)</f>
        <v>119655110.2</v>
      </c>
      <c r="F12" s="408">
        <f>IF(A12&gt;($B$4*$B$6),"",C12)</f>
        <v>274701.548</v>
      </c>
      <c r="G12" s="408">
        <f>IF(A12&gt;($B$4*$B$6),"",B12)</f>
        <v>489357.75</v>
      </c>
      <c r="H12" s="410">
        <f>B5</f>
        <v>0.0275</v>
      </c>
      <c r="I12" s="1">
        <f t="shared" si="1"/>
        <v>1</v>
      </c>
      <c r="J12" s="406">
        <f>B7</f>
        <v>45658</v>
      </c>
      <c r="K12" s="105">
        <f t="shared" ref="K12:K1000" si="9">YEAR(J12)-YEAR(B$8)+1</f>
        <v>5</v>
      </c>
      <c r="L12" s="411">
        <f t="shared" ref="L12:L1000" si="10">B12</f>
        <v>489357.75</v>
      </c>
      <c r="M12" s="407">
        <f t="shared" si="2"/>
        <v>214656.202</v>
      </c>
      <c r="N12" s="407">
        <f t="shared" si="3"/>
        <v>274701.548</v>
      </c>
      <c r="O12" s="407">
        <f t="shared" si="4"/>
        <v>119655110.2</v>
      </c>
      <c r="P12" s="1"/>
    </row>
    <row r="13" ht="12.75" customHeight="1">
      <c r="A13" s="1">
        <v>2.0</v>
      </c>
      <c r="B13" s="408">
        <f t="shared" si="5"/>
        <v>489357.75</v>
      </c>
      <c r="C13" s="408">
        <f t="shared" si="6"/>
        <v>274209.6275</v>
      </c>
      <c r="D13" s="408">
        <f t="shared" si="7"/>
        <v>215148.1225</v>
      </c>
      <c r="E13" s="176">
        <f t="shared" si="8"/>
        <v>119439962.1</v>
      </c>
      <c r="F13" s="408">
        <f t="shared" ref="F13:F1000" si="11">IF(A12&gt;=($B$4*$B$6),"",F12+C13)</f>
        <v>548911.1755</v>
      </c>
      <c r="G13" s="408">
        <f t="shared" ref="G13:G1000" si="12">IF(A12&gt;=($B$4*$B$6),"",G12+B13)</f>
        <v>978715.4999</v>
      </c>
      <c r="H13" s="410">
        <f>IF(K13&gt;='Pro Forma Detail'!D$66,'Pro Forma Detail'!D$67,'Debt ReFi'!$B$5)</f>
        <v>0.0275</v>
      </c>
      <c r="I13" s="1">
        <f t="shared" si="1"/>
        <v>2</v>
      </c>
      <c r="J13" s="406">
        <f t="shared" ref="J13:J1000" si="13">EDATE(J12,1)</f>
        <v>45689</v>
      </c>
      <c r="K13" s="105">
        <f t="shared" si="9"/>
        <v>5</v>
      </c>
      <c r="L13" s="411">
        <f t="shared" si="10"/>
        <v>489357.75</v>
      </c>
      <c r="M13" s="407">
        <f t="shared" si="2"/>
        <v>215148.1225</v>
      </c>
      <c r="N13" s="407">
        <f t="shared" si="3"/>
        <v>274209.6275</v>
      </c>
      <c r="O13" s="407">
        <f t="shared" si="4"/>
        <v>119439962.1</v>
      </c>
      <c r="P13" s="1"/>
    </row>
    <row r="14" ht="12.75" customHeight="1">
      <c r="A14" s="1">
        <v>3.0</v>
      </c>
      <c r="B14" s="408">
        <f t="shared" si="5"/>
        <v>489357.75</v>
      </c>
      <c r="C14" s="408">
        <f t="shared" si="6"/>
        <v>273716.5797</v>
      </c>
      <c r="D14" s="408">
        <f t="shared" si="7"/>
        <v>215641.1702</v>
      </c>
      <c r="E14" s="176">
        <f t="shared" si="8"/>
        <v>119224320.9</v>
      </c>
      <c r="F14" s="408">
        <f t="shared" si="11"/>
        <v>822627.7552</v>
      </c>
      <c r="G14" s="408">
        <f t="shared" si="12"/>
        <v>1468073.25</v>
      </c>
      <c r="H14" s="410">
        <f>IF(K14&gt;='Pro Forma Detail'!D$66,'Pro Forma Detail'!D$67,'Debt ReFi'!$B$5)</f>
        <v>0.0275</v>
      </c>
      <c r="I14" s="1">
        <f t="shared" si="1"/>
        <v>3</v>
      </c>
      <c r="J14" s="406">
        <f t="shared" si="13"/>
        <v>45717</v>
      </c>
      <c r="K14" s="105">
        <f t="shared" si="9"/>
        <v>5</v>
      </c>
      <c r="L14" s="411">
        <f t="shared" si="10"/>
        <v>489357.75</v>
      </c>
      <c r="M14" s="407">
        <f t="shared" si="2"/>
        <v>215641.1702</v>
      </c>
      <c r="N14" s="407">
        <f t="shared" si="3"/>
        <v>273716.5797</v>
      </c>
      <c r="O14" s="407">
        <f t="shared" si="4"/>
        <v>119224320.9</v>
      </c>
      <c r="P14" s="1"/>
    </row>
    <row r="15" ht="12.75" customHeight="1">
      <c r="A15" s="1">
        <v>4.0</v>
      </c>
      <c r="B15" s="408">
        <f t="shared" si="5"/>
        <v>489357.75</v>
      </c>
      <c r="C15" s="408">
        <f t="shared" si="6"/>
        <v>273222.402</v>
      </c>
      <c r="D15" s="408">
        <f t="shared" si="7"/>
        <v>216135.3479</v>
      </c>
      <c r="E15" s="176">
        <f t="shared" si="8"/>
        <v>119008185.5</v>
      </c>
      <c r="F15" s="408">
        <f t="shared" si="11"/>
        <v>1095850.157</v>
      </c>
      <c r="G15" s="408">
        <f t="shared" si="12"/>
        <v>1957431</v>
      </c>
      <c r="H15" s="410">
        <f>IF(K15&gt;='Pro Forma Detail'!D$66,'Pro Forma Detail'!D$67,'Debt ReFi'!$B$5)</f>
        <v>0.0275</v>
      </c>
      <c r="I15" s="1">
        <f t="shared" si="1"/>
        <v>4</v>
      </c>
      <c r="J15" s="406">
        <f t="shared" si="13"/>
        <v>45748</v>
      </c>
      <c r="K15" s="105">
        <f t="shared" si="9"/>
        <v>5</v>
      </c>
      <c r="L15" s="411">
        <f t="shared" si="10"/>
        <v>489357.75</v>
      </c>
      <c r="M15" s="407">
        <f t="shared" si="2"/>
        <v>216135.3479</v>
      </c>
      <c r="N15" s="407">
        <f t="shared" si="3"/>
        <v>273222.402</v>
      </c>
      <c r="O15" s="407">
        <f t="shared" si="4"/>
        <v>119008185.5</v>
      </c>
      <c r="P15" s="1"/>
    </row>
    <row r="16" ht="12.75" customHeight="1">
      <c r="A16" s="1">
        <v>5.0</v>
      </c>
      <c r="B16" s="408">
        <f t="shared" si="5"/>
        <v>489357.75</v>
      </c>
      <c r="C16" s="408">
        <f t="shared" si="6"/>
        <v>272727.0919</v>
      </c>
      <c r="D16" s="408">
        <f t="shared" si="7"/>
        <v>216630.6581</v>
      </c>
      <c r="E16" s="176">
        <f t="shared" si="8"/>
        <v>118791554.9</v>
      </c>
      <c r="F16" s="408">
        <f t="shared" si="11"/>
        <v>1368577.249</v>
      </c>
      <c r="G16" s="408">
        <f t="shared" si="12"/>
        <v>2446788.75</v>
      </c>
      <c r="H16" s="410">
        <f>IF(K16&gt;='Pro Forma Detail'!D$66,'Pro Forma Detail'!D$67,'Debt ReFi'!$B$5)</f>
        <v>0.0275</v>
      </c>
      <c r="I16" s="1">
        <f t="shared" si="1"/>
        <v>5</v>
      </c>
      <c r="J16" s="406">
        <f t="shared" si="13"/>
        <v>45778</v>
      </c>
      <c r="K16" s="105">
        <f t="shared" si="9"/>
        <v>5</v>
      </c>
      <c r="L16" s="411">
        <f t="shared" si="10"/>
        <v>489357.75</v>
      </c>
      <c r="M16" s="407">
        <f t="shared" si="2"/>
        <v>216630.6581</v>
      </c>
      <c r="N16" s="407">
        <f t="shared" si="3"/>
        <v>272727.0919</v>
      </c>
      <c r="O16" s="407">
        <f t="shared" si="4"/>
        <v>118791554.9</v>
      </c>
      <c r="P16" s="1"/>
    </row>
    <row r="17" ht="12.75" customHeight="1">
      <c r="A17" s="1">
        <v>6.0</v>
      </c>
      <c r="B17" s="408">
        <f t="shared" si="5"/>
        <v>489357.75</v>
      </c>
      <c r="C17" s="408">
        <f t="shared" si="6"/>
        <v>272230.6466</v>
      </c>
      <c r="D17" s="408">
        <f t="shared" si="7"/>
        <v>217127.1033</v>
      </c>
      <c r="E17" s="176">
        <f t="shared" si="8"/>
        <v>118574427.8</v>
      </c>
      <c r="F17" s="408">
        <f t="shared" si="11"/>
        <v>1640807.896</v>
      </c>
      <c r="G17" s="408">
        <f t="shared" si="12"/>
        <v>2936146.5</v>
      </c>
      <c r="H17" s="410">
        <f>IF(K17&gt;='Pro Forma Detail'!D$66,'Pro Forma Detail'!D$67,'Debt ReFi'!$B$5)</f>
        <v>0.0275</v>
      </c>
      <c r="I17" s="1">
        <f t="shared" si="1"/>
        <v>6</v>
      </c>
      <c r="J17" s="406">
        <f t="shared" si="13"/>
        <v>45809</v>
      </c>
      <c r="K17" s="105">
        <f t="shared" si="9"/>
        <v>5</v>
      </c>
      <c r="L17" s="411">
        <f t="shared" si="10"/>
        <v>489357.75</v>
      </c>
      <c r="M17" s="407">
        <f t="shared" si="2"/>
        <v>217127.1033</v>
      </c>
      <c r="N17" s="407">
        <f t="shared" si="3"/>
        <v>272230.6466</v>
      </c>
      <c r="O17" s="407">
        <f t="shared" si="4"/>
        <v>118574427.8</v>
      </c>
      <c r="P17" s="1"/>
    </row>
    <row r="18" ht="12.75" customHeight="1">
      <c r="A18" s="1">
        <v>7.0</v>
      </c>
      <c r="B18" s="408">
        <f t="shared" si="5"/>
        <v>489357.75</v>
      </c>
      <c r="C18" s="408">
        <f t="shared" si="6"/>
        <v>271733.0637</v>
      </c>
      <c r="D18" s="408">
        <f t="shared" si="7"/>
        <v>217624.6863</v>
      </c>
      <c r="E18" s="176">
        <f t="shared" si="8"/>
        <v>118356803.1</v>
      </c>
      <c r="F18" s="408">
        <f t="shared" si="11"/>
        <v>1912540.959</v>
      </c>
      <c r="G18" s="408">
        <f t="shared" si="12"/>
        <v>3425504.25</v>
      </c>
      <c r="H18" s="410">
        <f>IF(K18&gt;='Pro Forma Detail'!D$66,'Pro Forma Detail'!D$67,'Debt ReFi'!$B$5)</f>
        <v>0.0275</v>
      </c>
      <c r="I18" s="1">
        <f t="shared" si="1"/>
        <v>7</v>
      </c>
      <c r="J18" s="406">
        <f t="shared" si="13"/>
        <v>45839</v>
      </c>
      <c r="K18" s="105">
        <f t="shared" si="9"/>
        <v>5</v>
      </c>
      <c r="L18" s="411">
        <f t="shared" si="10"/>
        <v>489357.75</v>
      </c>
      <c r="M18" s="407">
        <f t="shared" si="2"/>
        <v>217624.6863</v>
      </c>
      <c r="N18" s="407">
        <f t="shared" si="3"/>
        <v>271733.0637</v>
      </c>
      <c r="O18" s="407">
        <f t="shared" si="4"/>
        <v>118356803.1</v>
      </c>
      <c r="P18" s="1"/>
    </row>
    <row r="19" ht="12.75" customHeight="1">
      <c r="A19" s="1">
        <v>8.0</v>
      </c>
      <c r="B19" s="408">
        <f t="shared" si="5"/>
        <v>489357.75</v>
      </c>
      <c r="C19" s="408">
        <f t="shared" si="6"/>
        <v>271234.3404</v>
      </c>
      <c r="D19" s="408">
        <f t="shared" si="7"/>
        <v>218123.4095</v>
      </c>
      <c r="E19" s="176">
        <f t="shared" si="8"/>
        <v>118138679.7</v>
      </c>
      <c r="F19" s="408">
        <f t="shared" si="11"/>
        <v>2183775.3</v>
      </c>
      <c r="G19" s="408">
        <f t="shared" si="12"/>
        <v>3914862</v>
      </c>
      <c r="H19" s="410">
        <f>IF(K19&gt;='Pro Forma Detail'!D$66,'Pro Forma Detail'!D$67,'Debt ReFi'!$B$5)</f>
        <v>0.0275</v>
      </c>
      <c r="I19" s="1">
        <f t="shared" si="1"/>
        <v>8</v>
      </c>
      <c r="J19" s="406">
        <f t="shared" si="13"/>
        <v>45870</v>
      </c>
      <c r="K19" s="105">
        <f t="shared" si="9"/>
        <v>5</v>
      </c>
      <c r="L19" s="411">
        <f t="shared" si="10"/>
        <v>489357.75</v>
      </c>
      <c r="M19" s="407">
        <f t="shared" si="2"/>
        <v>218123.4095</v>
      </c>
      <c r="N19" s="407">
        <f t="shared" si="3"/>
        <v>271234.3404</v>
      </c>
      <c r="O19" s="407">
        <f t="shared" si="4"/>
        <v>118138679.7</v>
      </c>
      <c r="P19" s="1"/>
    </row>
    <row r="20" ht="12.75" customHeight="1">
      <c r="A20" s="1">
        <v>9.0</v>
      </c>
      <c r="B20" s="408">
        <f t="shared" si="5"/>
        <v>489357.75</v>
      </c>
      <c r="C20" s="408">
        <f t="shared" si="6"/>
        <v>270734.4743</v>
      </c>
      <c r="D20" s="408">
        <f t="shared" si="7"/>
        <v>218623.2757</v>
      </c>
      <c r="E20" s="176">
        <f t="shared" si="8"/>
        <v>117920056.4</v>
      </c>
      <c r="F20" s="408">
        <f t="shared" si="11"/>
        <v>2454509.774</v>
      </c>
      <c r="G20" s="408">
        <f t="shared" si="12"/>
        <v>4404219.75</v>
      </c>
      <c r="H20" s="410">
        <f>IF(K20&gt;='Pro Forma Detail'!D$66,'Pro Forma Detail'!D$67,'Debt ReFi'!$B$5)</f>
        <v>0.0275</v>
      </c>
      <c r="I20" s="1">
        <f t="shared" si="1"/>
        <v>9</v>
      </c>
      <c r="J20" s="406">
        <f t="shared" si="13"/>
        <v>45901</v>
      </c>
      <c r="K20" s="105">
        <f t="shared" si="9"/>
        <v>5</v>
      </c>
      <c r="L20" s="411">
        <f t="shared" si="10"/>
        <v>489357.75</v>
      </c>
      <c r="M20" s="407">
        <f t="shared" si="2"/>
        <v>218623.2757</v>
      </c>
      <c r="N20" s="407">
        <f t="shared" si="3"/>
        <v>270734.4743</v>
      </c>
      <c r="O20" s="407">
        <f t="shared" si="4"/>
        <v>117920056.4</v>
      </c>
      <c r="P20" s="1"/>
    </row>
    <row r="21" ht="12.75" customHeight="1">
      <c r="A21" s="1">
        <v>10.0</v>
      </c>
      <c r="B21" s="408">
        <f t="shared" si="5"/>
        <v>489357.75</v>
      </c>
      <c r="C21" s="408">
        <f t="shared" si="6"/>
        <v>270233.4626</v>
      </c>
      <c r="D21" s="408">
        <f t="shared" si="7"/>
        <v>219124.2873</v>
      </c>
      <c r="E21" s="176">
        <f t="shared" si="8"/>
        <v>117700932.1</v>
      </c>
      <c r="F21" s="408">
        <f t="shared" si="11"/>
        <v>2724743.237</v>
      </c>
      <c r="G21" s="408">
        <f t="shared" si="12"/>
        <v>4893577.5</v>
      </c>
      <c r="H21" s="410">
        <f>IF(K21&gt;='Pro Forma Detail'!D$66,'Pro Forma Detail'!D$67,'Debt ReFi'!$B$5)</f>
        <v>0.0275</v>
      </c>
      <c r="I21" s="1">
        <f t="shared" si="1"/>
        <v>10</v>
      </c>
      <c r="J21" s="406">
        <f t="shared" si="13"/>
        <v>45931</v>
      </c>
      <c r="K21" s="105">
        <f t="shared" si="9"/>
        <v>5</v>
      </c>
      <c r="L21" s="411">
        <f t="shared" si="10"/>
        <v>489357.75</v>
      </c>
      <c r="M21" s="407">
        <f t="shared" si="2"/>
        <v>219124.2873</v>
      </c>
      <c r="N21" s="407">
        <f t="shared" si="3"/>
        <v>270233.4626</v>
      </c>
      <c r="O21" s="407">
        <f t="shared" si="4"/>
        <v>117700932.1</v>
      </c>
      <c r="P21" s="1"/>
    </row>
    <row r="22" ht="12.75" customHeight="1">
      <c r="A22" s="1">
        <v>11.0</v>
      </c>
      <c r="B22" s="408">
        <f t="shared" si="5"/>
        <v>489357.75</v>
      </c>
      <c r="C22" s="408">
        <f t="shared" si="6"/>
        <v>269731.3028</v>
      </c>
      <c r="D22" s="408">
        <f t="shared" si="7"/>
        <v>219626.4472</v>
      </c>
      <c r="E22" s="176">
        <f t="shared" si="8"/>
        <v>117481305.7</v>
      </c>
      <c r="F22" s="408">
        <f t="shared" si="11"/>
        <v>2994474.54</v>
      </c>
      <c r="G22" s="408">
        <f t="shared" si="12"/>
        <v>5382935.25</v>
      </c>
      <c r="H22" s="410">
        <f>IF(K22&gt;='Pro Forma Detail'!D$66,'Pro Forma Detail'!D$67,'Debt ReFi'!$B$5)</f>
        <v>0.0275</v>
      </c>
      <c r="I22" s="1">
        <f t="shared" si="1"/>
        <v>11</v>
      </c>
      <c r="J22" s="406">
        <f t="shared" si="13"/>
        <v>45962</v>
      </c>
      <c r="K22" s="105">
        <f t="shared" si="9"/>
        <v>5</v>
      </c>
      <c r="L22" s="411">
        <f t="shared" si="10"/>
        <v>489357.75</v>
      </c>
      <c r="M22" s="407">
        <f t="shared" si="2"/>
        <v>219626.4472</v>
      </c>
      <c r="N22" s="407">
        <f t="shared" si="3"/>
        <v>269731.3028</v>
      </c>
      <c r="O22" s="407">
        <f t="shared" si="4"/>
        <v>117481305.7</v>
      </c>
      <c r="P22" s="1"/>
    </row>
    <row r="23" ht="12.75" customHeight="1">
      <c r="A23" s="1">
        <v>12.0</v>
      </c>
      <c r="B23" s="408">
        <f t="shared" si="5"/>
        <v>489357.75</v>
      </c>
      <c r="C23" s="408">
        <f t="shared" si="6"/>
        <v>269227.9922</v>
      </c>
      <c r="D23" s="408">
        <f t="shared" si="7"/>
        <v>220129.7578</v>
      </c>
      <c r="E23" s="176">
        <f t="shared" si="8"/>
        <v>117261175.9</v>
      </c>
      <c r="F23" s="408">
        <f t="shared" si="11"/>
        <v>3263702.532</v>
      </c>
      <c r="G23" s="408">
        <f t="shared" si="12"/>
        <v>5872292.999</v>
      </c>
      <c r="H23" s="410">
        <f>IF(K23&gt;='Pro Forma Detail'!D$66,'Pro Forma Detail'!D$67,'Debt ReFi'!$B$5)</f>
        <v>0.0275</v>
      </c>
      <c r="I23" s="1">
        <f t="shared" si="1"/>
        <v>12</v>
      </c>
      <c r="J23" s="406">
        <f t="shared" si="13"/>
        <v>45992</v>
      </c>
      <c r="K23" s="105">
        <f t="shared" si="9"/>
        <v>5</v>
      </c>
      <c r="L23" s="411">
        <f t="shared" si="10"/>
        <v>489357.75</v>
      </c>
      <c r="M23" s="407">
        <f t="shared" si="2"/>
        <v>220129.7578</v>
      </c>
      <c r="N23" s="407">
        <f t="shared" si="3"/>
        <v>269227.9922</v>
      </c>
      <c r="O23" s="407">
        <f t="shared" si="4"/>
        <v>117261175.9</v>
      </c>
      <c r="P23" s="1"/>
    </row>
    <row r="24" ht="12.75" customHeight="1">
      <c r="A24" s="1">
        <v>13.0</v>
      </c>
      <c r="B24" s="408">
        <f t="shared" si="5"/>
        <v>489357.75</v>
      </c>
      <c r="C24" s="408">
        <f t="shared" si="6"/>
        <v>268723.5281</v>
      </c>
      <c r="D24" s="408">
        <f t="shared" si="7"/>
        <v>220634.2218</v>
      </c>
      <c r="E24" s="176">
        <f t="shared" si="8"/>
        <v>117040541.7</v>
      </c>
      <c r="F24" s="408">
        <f t="shared" si="11"/>
        <v>3532426.06</v>
      </c>
      <c r="G24" s="408">
        <f t="shared" si="12"/>
        <v>6361650.749</v>
      </c>
      <c r="H24" s="410">
        <f>IF(K24&gt;='Pro Forma Detail'!D$66,'Pro Forma Detail'!D$67,'Debt ReFi'!$B$5)</f>
        <v>0.0275</v>
      </c>
      <c r="I24" s="1">
        <f t="shared" si="1"/>
        <v>13</v>
      </c>
      <c r="J24" s="406">
        <f t="shared" si="13"/>
        <v>46023</v>
      </c>
      <c r="K24" s="105">
        <f t="shared" si="9"/>
        <v>6</v>
      </c>
      <c r="L24" s="411">
        <f t="shared" si="10"/>
        <v>489357.75</v>
      </c>
      <c r="M24" s="407">
        <f t="shared" si="2"/>
        <v>220634.2218</v>
      </c>
      <c r="N24" s="407">
        <f t="shared" si="3"/>
        <v>268723.5281</v>
      </c>
      <c r="O24" s="407">
        <f t="shared" si="4"/>
        <v>117040541.7</v>
      </c>
      <c r="P24" s="1"/>
    </row>
    <row r="25" ht="12.75" customHeight="1">
      <c r="A25" s="1">
        <v>14.0</v>
      </c>
      <c r="B25" s="408">
        <f t="shared" si="5"/>
        <v>489357.75</v>
      </c>
      <c r="C25" s="408">
        <f t="shared" si="6"/>
        <v>268217.9081</v>
      </c>
      <c r="D25" s="408">
        <f t="shared" si="7"/>
        <v>221139.8419</v>
      </c>
      <c r="E25" s="176">
        <f t="shared" si="8"/>
        <v>116819401.9</v>
      </c>
      <c r="F25" s="408">
        <f t="shared" si="11"/>
        <v>3800643.968</v>
      </c>
      <c r="G25" s="408">
        <f t="shared" si="12"/>
        <v>6851008.499</v>
      </c>
      <c r="H25" s="410">
        <f>IF(K25&gt;='Pro Forma Detail'!D$66,'Pro Forma Detail'!D$67,'Debt ReFi'!$B$5)</f>
        <v>0.0275</v>
      </c>
      <c r="I25" s="1">
        <f t="shared" si="1"/>
        <v>14</v>
      </c>
      <c r="J25" s="406">
        <f t="shared" si="13"/>
        <v>46054</v>
      </c>
      <c r="K25" s="105">
        <f t="shared" si="9"/>
        <v>6</v>
      </c>
      <c r="L25" s="411">
        <f t="shared" si="10"/>
        <v>489357.75</v>
      </c>
      <c r="M25" s="407">
        <f t="shared" si="2"/>
        <v>221139.8419</v>
      </c>
      <c r="N25" s="407">
        <f t="shared" si="3"/>
        <v>268217.9081</v>
      </c>
      <c r="O25" s="407">
        <f t="shared" si="4"/>
        <v>116819401.9</v>
      </c>
      <c r="P25" s="1"/>
    </row>
    <row r="26" ht="12.75" customHeight="1">
      <c r="A26" s="1">
        <v>15.0</v>
      </c>
      <c r="B26" s="408">
        <f t="shared" si="5"/>
        <v>489357.75</v>
      </c>
      <c r="C26" s="408">
        <f t="shared" si="6"/>
        <v>267711.1293</v>
      </c>
      <c r="D26" s="408">
        <f t="shared" si="7"/>
        <v>221646.6207</v>
      </c>
      <c r="E26" s="176">
        <f t="shared" si="8"/>
        <v>116597755.2</v>
      </c>
      <c r="F26" s="408">
        <f t="shared" si="11"/>
        <v>4068355.097</v>
      </c>
      <c r="G26" s="408">
        <f t="shared" si="12"/>
        <v>7340366.249</v>
      </c>
      <c r="H26" s="410">
        <f>IF(K26&gt;='Pro Forma Detail'!D$66,'Pro Forma Detail'!D$67,'Debt ReFi'!$B$5)</f>
        <v>0.0275</v>
      </c>
      <c r="I26" s="1">
        <f t="shared" si="1"/>
        <v>15</v>
      </c>
      <c r="J26" s="406">
        <f t="shared" si="13"/>
        <v>46082</v>
      </c>
      <c r="K26" s="105">
        <f t="shared" si="9"/>
        <v>6</v>
      </c>
      <c r="L26" s="411">
        <f t="shared" si="10"/>
        <v>489357.75</v>
      </c>
      <c r="M26" s="407">
        <f t="shared" si="2"/>
        <v>221646.6207</v>
      </c>
      <c r="N26" s="407">
        <f t="shared" si="3"/>
        <v>267711.1293</v>
      </c>
      <c r="O26" s="407">
        <f t="shared" si="4"/>
        <v>116597755.2</v>
      </c>
      <c r="P26" s="1"/>
    </row>
    <row r="27" ht="12.75" customHeight="1">
      <c r="A27" s="1">
        <v>16.0</v>
      </c>
      <c r="B27" s="408">
        <f t="shared" si="5"/>
        <v>489357.75</v>
      </c>
      <c r="C27" s="408">
        <f t="shared" si="6"/>
        <v>267203.1891</v>
      </c>
      <c r="D27" s="408">
        <f t="shared" si="7"/>
        <v>222154.5609</v>
      </c>
      <c r="E27" s="176">
        <f t="shared" si="8"/>
        <v>116375600.7</v>
      </c>
      <c r="F27" s="408">
        <f t="shared" si="11"/>
        <v>4335558.286</v>
      </c>
      <c r="G27" s="408">
        <f t="shared" si="12"/>
        <v>7829723.999</v>
      </c>
      <c r="H27" s="410">
        <f>IF(K27&gt;='Pro Forma Detail'!D$66,'Pro Forma Detail'!D$67,'Debt ReFi'!$B$5)</f>
        <v>0.0275</v>
      </c>
      <c r="I27" s="1">
        <f t="shared" si="1"/>
        <v>16</v>
      </c>
      <c r="J27" s="406">
        <f t="shared" si="13"/>
        <v>46113</v>
      </c>
      <c r="K27" s="105">
        <f t="shared" si="9"/>
        <v>6</v>
      </c>
      <c r="L27" s="411">
        <f t="shared" si="10"/>
        <v>489357.75</v>
      </c>
      <c r="M27" s="407">
        <f t="shared" si="2"/>
        <v>222154.5609</v>
      </c>
      <c r="N27" s="407">
        <f t="shared" si="3"/>
        <v>267203.1891</v>
      </c>
      <c r="O27" s="407">
        <f t="shared" si="4"/>
        <v>116375600.7</v>
      </c>
      <c r="P27" s="1"/>
    </row>
    <row r="28" ht="12.75" customHeight="1">
      <c r="A28" s="1">
        <v>17.0</v>
      </c>
      <c r="B28" s="408">
        <f t="shared" si="5"/>
        <v>489357.75</v>
      </c>
      <c r="C28" s="408">
        <f t="shared" si="6"/>
        <v>266694.0849</v>
      </c>
      <c r="D28" s="408">
        <f t="shared" si="7"/>
        <v>222663.6651</v>
      </c>
      <c r="E28" s="176">
        <f t="shared" si="8"/>
        <v>116152937</v>
      </c>
      <c r="F28" s="408">
        <f t="shared" si="11"/>
        <v>4602252.371</v>
      </c>
      <c r="G28" s="408">
        <f t="shared" si="12"/>
        <v>8319081.749</v>
      </c>
      <c r="H28" s="410">
        <f>IF(K28&gt;='Pro Forma Detail'!D$66,'Pro Forma Detail'!D$67,'Debt ReFi'!$B$5)</f>
        <v>0.0275</v>
      </c>
      <c r="I28" s="1">
        <f t="shared" si="1"/>
        <v>17</v>
      </c>
      <c r="J28" s="406">
        <f t="shared" si="13"/>
        <v>46143</v>
      </c>
      <c r="K28" s="105">
        <f t="shared" si="9"/>
        <v>6</v>
      </c>
      <c r="L28" s="411">
        <f t="shared" si="10"/>
        <v>489357.75</v>
      </c>
      <c r="M28" s="407">
        <f t="shared" si="2"/>
        <v>222663.6651</v>
      </c>
      <c r="N28" s="407">
        <f t="shared" si="3"/>
        <v>266694.0849</v>
      </c>
      <c r="O28" s="407">
        <f t="shared" si="4"/>
        <v>116152937</v>
      </c>
      <c r="P28" s="1"/>
    </row>
    <row r="29" ht="12.75" customHeight="1">
      <c r="A29" s="1">
        <v>18.0</v>
      </c>
      <c r="B29" s="408">
        <f t="shared" si="5"/>
        <v>489357.75</v>
      </c>
      <c r="C29" s="408">
        <f t="shared" si="6"/>
        <v>266183.814</v>
      </c>
      <c r="D29" s="408">
        <f t="shared" si="7"/>
        <v>223173.936</v>
      </c>
      <c r="E29" s="176">
        <f t="shared" si="8"/>
        <v>115929763.1</v>
      </c>
      <c r="F29" s="408">
        <f t="shared" si="11"/>
        <v>4868436.185</v>
      </c>
      <c r="G29" s="408">
        <f t="shared" si="12"/>
        <v>8808439.499</v>
      </c>
      <c r="H29" s="410">
        <f>IF(K29&gt;='Pro Forma Detail'!D$66,'Pro Forma Detail'!D$67,'Debt ReFi'!$B$5)</f>
        <v>0.0275</v>
      </c>
      <c r="I29" s="1">
        <f t="shared" si="1"/>
        <v>18</v>
      </c>
      <c r="J29" s="406">
        <f t="shared" si="13"/>
        <v>46174</v>
      </c>
      <c r="K29" s="105">
        <f t="shared" si="9"/>
        <v>6</v>
      </c>
      <c r="L29" s="411">
        <f t="shared" si="10"/>
        <v>489357.75</v>
      </c>
      <c r="M29" s="407">
        <f t="shared" si="2"/>
        <v>223173.936</v>
      </c>
      <c r="N29" s="407">
        <f t="shared" si="3"/>
        <v>266183.814</v>
      </c>
      <c r="O29" s="407">
        <f t="shared" si="4"/>
        <v>115929763.1</v>
      </c>
      <c r="P29" s="1"/>
    </row>
    <row r="30" ht="12.75" customHeight="1">
      <c r="A30" s="1">
        <v>19.0</v>
      </c>
      <c r="B30" s="408">
        <f t="shared" si="5"/>
        <v>489357.75</v>
      </c>
      <c r="C30" s="408">
        <f t="shared" si="6"/>
        <v>265672.3737</v>
      </c>
      <c r="D30" s="408">
        <f t="shared" si="7"/>
        <v>223685.3762</v>
      </c>
      <c r="E30" s="176">
        <f t="shared" si="8"/>
        <v>115706077.7</v>
      </c>
      <c r="F30" s="408">
        <f t="shared" si="11"/>
        <v>5134108.559</v>
      </c>
      <c r="G30" s="408">
        <f t="shared" si="12"/>
        <v>9297797.249</v>
      </c>
      <c r="H30" s="410">
        <f>IF(K30&gt;='Pro Forma Detail'!D$66,'Pro Forma Detail'!D$67,'Debt ReFi'!$B$5)</f>
        <v>0.0275</v>
      </c>
      <c r="I30" s="1">
        <f t="shared" si="1"/>
        <v>19</v>
      </c>
      <c r="J30" s="406">
        <f t="shared" si="13"/>
        <v>46204</v>
      </c>
      <c r="K30" s="105">
        <f t="shared" si="9"/>
        <v>6</v>
      </c>
      <c r="L30" s="411">
        <f t="shared" si="10"/>
        <v>489357.75</v>
      </c>
      <c r="M30" s="407">
        <f t="shared" si="2"/>
        <v>223685.3762</v>
      </c>
      <c r="N30" s="407">
        <f t="shared" si="3"/>
        <v>265672.3737</v>
      </c>
      <c r="O30" s="407">
        <f t="shared" si="4"/>
        <v>115706077.7</v>
      </c>
      <c r="P30" s="1"/>
    </row>
    <row r="31" ht="12.75" customHeight="1">
      <c r="A31" s="1">
        <v>20.0</v>
      </c>
      <c r="B31" s="408">
        <f t="shared" si="5"/>
        <v>489357.75</v>
      </c>
      <c r="C31" s="408">
        <f t="shared" si="6"/>
        <v>265159.7614</v>
      </c>
      <c r="D31" s="408">
        <f t="shared" si="7"/>
        <v>224197.9886</v>
      </c>
      <c r="E31" s="176">
        <f t="shared" si="8"/>
        <v>115481879.7</v>
      </c>
      <c r="F31" s="408">
        <f t="shared" si="11"/>
        <v>5399268.32</v>
      </c>
      <c r="G31" s="408">
        <f t="shared" si="12"/>
        <v>9787154.999</v>
      </c>
      <c r="H31" s="410">
        <f>IF(K31&gt;='Pro Forma Detail'!D$66,'Pro Forma Detail'!D$67,'Debt ReFi'!$B$5)</f>
        <v>0.0275</v>
      </c>
      <c r="I31" s="1">
        <f t="shared" si="1"/>
        <v>20</v>
      </c>
      <c r="J31" s="406">
        <f t="shared" si="13"/>
        <v>46235</v>
      </c>
      <c r="K31" s="105">
        <f t="shared" si="9"/>
        <v>6</v>
      </c>
      <c r="L31" s="411">
        <f t="shared" si="10"/>
        <v>489357.75</v>
      </c>
      <c r="M31" s="407">
        <f t="shared" si="2"/>
        <v>224197.9886</v>
      </c>
      <c r="N31" s="407">
        <f t="shared" si="3"/>
        <v>265159.7614</v>
      </c>
      <c r="O31" s="407">
        <f t="shared" si="4"/>
        <v>115481879.7</v>
      </c>
      <c r="P31" s="1"/>
    </row>
    <row r="32" ht="12.75" customHeight="1">
      <c r="A32" s="1">
        <v>21.0</v>
      </c>
      <c r="B32" s="408">
        <f t="shared" si="5"/>
        <v>489357.75</v>
      </c>
      <c r="C32" s="408">
        <f t="shared" si="6"/>
        <v>264645.9743</v>
      </c>
      <c r="D32" s="408">
        <f t="shared" si="7"/>
        <v>224711.7756</v>
      </c>
      <c r="E32" s="176">
        <f t="shared" si="8"/>
        <v>115257167.9</v>
      </c>
      <c r="F32" s="408">
        <f t="shared" si="11"/>
        <v>5663914.294</v>
      </c>
      <c r="G32" s="408">
        <f t="shared" si="12"/>
        <v>10276512.75</v>
      </c>
      <c r="H32" s="410">
        <f>IF(K32&gt;='Pro Forma Detail'!D$66,'Pro Forma Detail'!D$67,'Debt ReFi'!$B$5)</f>
        <v>0.0275</v>
      </c>
      <c r="I32" s="1">
        <f t="shared" si="1"/>
        <v>21</v>
      </c>
      <c r="J32" s="406">
        <f t="shared" si="13"/>
        <v>46266</v>
      </c>
      <c r="K32" s="105">
        <f t="shared" si="9"/>
        <v>6</v>
      </c>
      <c r="L32" s="411">
        <f t="shared" si="10"/>
        <v>489357.75</v>
      </c>
      <c r="M32" s="407">
        <f t="shared" si="2"/>
        <v>224711.7756</v>
      </c>
      <c r="N32" s="407">
        <f t="shared" si="3"/>
        <v>264645.9743</v>
      </c>
      <c r="O32" s="407">
        <f t="shared" si="4"/>
        <v>115257167.9</v>
      </c>
      <c r="P32" s="1"/>
    </row>
    <row r="33" ht="12.75" customHeight="1">
      <c r="A33" s="1">
        <v>22.0</v>
      </c>
      <c r="B33" s="408">
        <f t="shared" si="5"/>
        <v>489357.75</v>
      </c>
      <c r="C33" s="408">
        <f t="shared" si="6"/>
        <v>264131.0098</v>
      </c>
      <c r="D33" s="408">
        <f t="shared" si="7"/>
        <v>225226.7401</v>
      </c>
      <c r="E33" s="176">
        <f t="shared" si="8"/>
        <v>115031941.2</v>
      </c>
      <c r="F33" s="408">
        <f t="shared" si="11"/>
        <v>5928045.304</v>
      </c>
      <c r="G33" s="408">
        <f t="shared" si="12"/>
        <v>10765870.5</v>
      </c>
      <c r="H33" s="410">
        <f>IF(K33&gt;='Pro Forma Detail'!D$66,'Pro Forma Detail'!D$67,'Debt ReFi'!$B$5)</f>
        <v>0.0275</v>
      </c>
      <c r="I33" s="1">
        <f t="shared" si="1"/>
        <v>22</v>
      </c>
      <c r="J33" s="406">
        <f t="shared" si="13"/>
        <v>46296</v>
      </c>
      <c r="K33" s="105">
        <f t="shared" si="9"/>
        <v>6</v>
      </c>
      <c r="L33" s="411">
        <f t="shared" si="10"/>
        <v>489357.75</v>
      </c>
      <c r="M33" s="407">
        <f t="shared" si="2"/>
        <v>225226.7401</v>
      </c>
      <c r="N33" s="407">
        <f t="shared" si="3"/>
        <v>264131.0098</v>
      </c>
      <c r="O33" s="407">
        <f t="shared" si="4"/>
        <v>115031941.2</v>
      </c>
      <c r="P33" s="1"/>
    </row>
    <row r="34" ht="12.75" customHeight="1">
      <c r="A34" s="1">
        <v>23.0</v>
      </c>
      <c r="B34" s="408">
        <f t="shared" si="5"/>
        <v>489357.75</v>
      </c>
      <c r="C34" s="408">
        <f t="shared" si="6"/>
        <v>263614.8652</v>
      </c>
      <c r="D34" s="408">
        <f t="shared" si="7"/>
        <v>225742.8847</v>
      </c>
      <c r="E34" s="176">
        <f t="shared" si="8"/>
        <v>114806198.3</v>
      </c>
      <c r="F34" s="408">
        <f t="shared" si="11"/>
        <v>6191660.17</v>
      </c>
      <c r="G34" s="408">
        <f t="shared" si="12"/>
        <v>11255228.25</v>
      </c>
      <c r="H34" s="410">
        <f>IF(K34&gt;='Pro Forma Detail'!D$66,'Pro Forma Detail'!D$67,'Debt ReFi'!$B$5)</f>
        <v>0.0275</v>
      </c>
      <c r="I34" s="1">
        <f t="shared" si="1"/>
        <v>23</v>
      </c>
      <c r="J34" s="406">
        <f t="shared" si="13"/>
        <v>46327</v>
      </c>
      <c r="K34" s="105">
        <f t="shared" si="9"/>
        <v>6</v>
      </c>
      <c r="L34" s="411">
        <f t="shared" si="10"/>
        <v>489357.75</v>
      </c>
      <c r="M34" s="407">
        <f t="shared" si="2"/>
        <v>225742.8847</v>
      </c>
      <c r="N34" s="407">
        <f t="shared" si="3"/>
        <v>263614.8652</v>
      </c>
      <c r="O34" s="407">
        <f t="shared" si="4"/>
        <v>114806198.3</v>
      </c>
      <c r="P34" s="1"/>
    </row>
    <row r="35" ht="12.75" customHeight="1">
      <c r="A35" s="1">
        <v>24.0</v>
      </c>
      <c r="B35" s="408">
        <f t="shared" si="5"/>
        <v>489357.75</v>
      </c>
      <c r="C35" s="408">
        <f t="shared" si="6"/>
        <v>263097.5378</v>
      </c>
      <c r="D35" s="408">
        <f t="shared" si="7"/>
        <v>226260.2122</v>
      </c>
      <c r="E35" s="176">
        <f t="shared" si="8"/>
        <v>114579938.1</v>
      </c>
      <c r="F35" s="408">
        <f t="shared" si="11"/>
        <v>6454757.707</v>
      </c>
      <c r="G35" s="408">
        <f t="shared" si="12"/>
        <v>11744586</v>
      </c>
      <c r="H35" s="410">
        <f>IF(K35&gt;='Pro Forma Detail'!D$66,'Pro Forma Detail'!D$67,'Debt ReFi'!$B$5)</f>
        <v>0.0275</v>
      </c>
      <c r="I35" s="1">
        <f t="shared" si="1"/>
        <v>24</v>
      </c>
      <c r="J35" s="406">
        <f t="shared" si="13"/>
        <v>46357</v>
      </c>
      <c r="K35" s="105">
        <f t="shared" si="9"/>
        <v>6</v>
      </c>
      <c r="L35" s="411">
        <f t="shared" si="10"/>
        <v>489357.75</v>
      </c>
      <c r="M35" s="407">
        <f t="shared" si="2"/>
        <v>226260.2122</v>
      </c>
      <c r="N35" s="407">
        <f t="shared" si="3"/>
        <v>263097.5378</v>
      </c>
      <c r="O35" s="407">
        <f t="shared" si="4"/>
        <v>114579938.1</v>
      </c>
      <c r="P35" s="1"/>
    </row>
    <row r="36" ht="12.75" customHeight="1">
      <c r="A36" s="1">
        <v>25.0</v>
      </c>
      <c r="B36" s="408">
        <f t="shared" si="5"/>
        <v>489357.75</v>
      </c>
      <c r="C36" s="408">
        <f t="shared" si="6"/>
        <v>262579.0248</v>
      </c>
      <c r="D36" s="408">
        <f t="shared" si="7"/>
        <v>226778.7252</v>
      </c>
      <c r="E36" s="176">
        <f t="shared" si="8"/>
        <v>114353159.4</v>
      </c>
      <c r="F36" s="408">
        <f t="shared" si="11"/>
        <v>6717336.732</v>
      </c>
      <c r="G36" s="408">
        <f t="shared" si="12"/>
        <v>12233943.75</v>
      </c>
      <c r="H36" s="410">
        <f>IF(K36&gt;='Pro Forma Detail'!D$66,'Pro Forma Detail'!D$67,'Debt ReFi'!$B$5)</f>
        <v>0.0275</v>
      </c>
      <c r="I36" s="1">
        <f t="shared" si="1"/>
        <v>25</v>
      </c>
      <c r="J36" s="406">
        <f t="shared" si="13"/>
        <v>46388</v>
      </c>
      <c r="K36" s="105">
        <f t="shared" si="9"/>
        <v>7</v>
      </c>
      <c r="L36" s="411">
        <f t="shared" si="10"/>
        <v>489357.75</v>
      </c>
      <c r="M36" s="407">
        <f t="shared" si="2"/>
        <v>226778.7252</v>
      </c>
      <c r="N36" s="407">
        <f t="shared" si="3"/>
        <v>262579.0248</v>
      </c>
      <c r="O36" s="407">
        <f t="shared" si="4"/>
        <v>114353159.4</v>
      </c>
      <c r="P36" s="1"/>
    </row>
    <row r="37" ht="12.75" customHeight="1">
      <c r="A37" s="1">
        <v>26.0</v>
      </c>
      <c r="B37" s="408">
        <f t="shared" si="5"/>
        <v>489357.75</v>
      </c>
      <c r="C37" s="408">
        <f t="shared" si="6"/>
        <v>262059.3236</v>
      </c>
      <c r="D37" s="408">
        <f t="shared" si="7"/>
        <v>227298.4264</v>
      </c>
      <c r="E37" s="176">
        <f t="shared" si="8"/>
        <v>114125860.9</v>
      </c>
      <c r="F37" s="408">
        <f t="shared" si="11"/>
        <v>6979396.056</v>
      </c>
      <c r="G37" s="408">
        <f t="shared" si="12"/>
        <v>12723301.5</v>
      </c>
      <c r="H37" s="410">
        <f>IF(K37&gt;='Pro Forma Detail'!D$66,'Pro Forma Detail'!D$67,'Debt ReFi'!$B$5)</f>
        <v>0.0275</v>
      </c>
      <c r="I37" s="1">
        <f t="shared" si="1"/>
        <v>26</v>
      </c>
      <c r="J37" s="406">
        <f t="shared" si="13"/>
        <v>46419</v>
      </c>
      <c r="K37" s="105">
        <f t="shared" si="9"/>
        <v>7</v>
      </c>
      <c r="L37" s="411">
        <f t="shared" si="10"/>
        <v>489357.75</v>
      </c>
      <c r="M37" s="407">
        <f t="shared" si="2"/>
        <v>227298.4264</v>
      </c>
      <c r="N37" s="407">
        <f t="shared" si="3"/>
        <v>262059.3236</v>
      </c>
      <c r="O37" s="407">
        <f t="shared" si="4"/>
        <v>114125860.9</v>
      </c>
      <c r="P37" s="1"/>
    </row>
    <row r="38" ht="12.75" customHeight="1">
      <c r="A38" s="1">
        <v>27.0</v>
      </c>
      <c r="B38" s="408">
        <f t="shared" si="5"/>
        <v>489357.75</v>
      </c>
      <c r="C38" s="408">
        <f t="shared" si="6"/>
        <v>261538.4313</v>
      </c>
      <c r="D38" s="408">
        <f t="shared" si="7"/>
        <v>227819.3186</v>
      </c>
      <c r="E38" s="176">
        <f t="shared" si="8"/>
        <v>113898041.6</v>
      </c>
      <c r="F38" s="408">
        <f t="shared" si="11"/>
        <v>7240934.487</v>
      </c>
      <c r="G38" s="408">
        <f t="shared" si="12"/>
        <v>13212659.25</v>
      </c>
      <c r="H38" s="410">
        <f>IF(K38&gt;='Pro Forma Detail'!D$66,'Pro Forma Detail'!D$67,'Debt ReFi'!$B$5)</f>
        <v>0.0275</v>
      </c>
      <c r="I38" s="1">
        <f t="shared" si="1"/>
        <v>27</v>
      </c>
      <c r="J38" s="406">
        <f t="shared" si="13"/>
        <v>46447</v>
      </c>
      <c r="K38" s="105">
        <f t="shared" si="9"/>
        <v>7</v>
      </c>
      <c r="L38" s="411">
        <f t="shared" si="10"/>
        <v>489357.75</v>
      </c>
      <c r="M38" s="407">
        <f t="shared" si="2"/>
        <v>227819.3186</v>
      </c>
      <c r="N38" s="407">
        <f t="shared" si="3"/>
        <v>261538.4313</v>
      </c>
      <c r="O38" s="407">
        <f t="shared" si="4"/>
        <v>113898041.6</v>
      </c>
      <c r="P38" s="1"/>
    </row>
    <row r="39" ht="12.75" customHeight="1">
      <c r="A39" s="1">
        <v>28.0</v>
      </c>
      <c r="B39" s="408">
        <f t="shared" si="5"/>
        <v>489357.75</v>
      </c>
      <c r="C39" s="408">
        <f t="shared" si="6"/>
        <v>261016.3454</v>
      </c>
      <c r="D39" s="408">
        <f t="shared" si="7"/>
        <v>228341.4046</v>
      </c>
      <c r="E39" s="176">
        <f t="shared" si="8"/>
        <v>113669700.2</v>
      </c>
      <c r="F39" s="408">
        <f t="shared" si="11"/>
        <v>7501950.832</v>
      </c>
      <c r="G39" s="408">
        <f t="shared" si="12"/>
        <v>13702017</v>
      </c>
      <c r="H39" s="410">
        <f>IF(K39&gt;='Pro Forma Detail'!D$66,'Pro Forma Detail'!D$67,'Debt ReFi'!$B$5)</f>
        <v>0.0275</v>
      </c>
      <c r="I39" s="1">
        <f t="shared" si="1"/>
        <v>28</v>
      </c>
      <c r="J39" s="406">
        <f t="shared" si="13"/>
        <v>46478</v>
      </c>
      <c r="K39" s="105">
        <f t="shared" si="9"/>
        <v>7</v>
      </c>
      <c r="L39" s="411">
        <f t="shared" si="10"/>
        <v>489357.75</v>
      </c>
      <c r="M39" s="407">
        <f t="shared" si="2"/>
        <v>228341.4046</v>
      </c>
      <c r="N39" s="407">
        <f t="shared" si="3"/>
        <v>261016.3454</v>
      </c>
      <c r="O39" s="407">
        <f t="shared" si="4"/>
        <v>113669700.2</v>
      </c>
      <c r="P39" s="1"/>
    </row>
    <row r="40" ht="12.75" customHeight="1">
      <c r="A40" s="1">
        <v>29.0</v>
      </c>
      <c r="B40" s="408">
        <f t="shared" si="5"/>
        <v>489357.75</v>
      </c>
      <c r="C40" s="408">
        <f t="shared" si="6"/>
        <v>260493.063</v>
      </c>
      <c r="D40" s="408">
        <f t="shared" si="7"/>
        <v>228864.687</v>
      </c>
      <c r="E40" s="176">
        <f t="shared" si="8"/>
        <v>113440835.5</v>
      </c>
      <c r="F40" s="408">
        <f t="shared" si="11"/>
        <v>7762443.895</v>
      </c>
      <c r="G40" s="408">
        <f t="shared" si="12"/>
        <v>14191374.75</v>
      </c>
      <c r="H40" s="410">
        <f>IF(K40&gt;='Pro Forma Detail'!D$66,'Pro Forma Detail'!D$67,'Debt ReFi'!$B$5)</f>
        <v>0.0275</v>
      </c>
      <c r="I40" s="1">
        <f t="shared" si="1"/>
        <v>29</v>
      </c>
      <c r="J40" s="406">
        <f t="shared" si="13"/>
        <v>46508</v>
      </c>
      <c r="K40" s="105">
        <f t="shared" si="9"/>
        <v>7</v>
      </c>
      <c r="L40" s="411">
        <f t="shared" si="10"/>
        <v>489357.75</v>
      </c>
      <c r="M40" s="407">
        <f t="shared" si="2"/>
        <v>228864.687</v>
      </c>
      <c r="N40" s="407">
        <f t="shared" si="3"/>
        <v>260493.063</v>
      </c>
      <c r="O40" s="407">
        <f t="shared" si="4"/>
        <v>113440835.5</v>
      </c>
      <c r="P40" s="1"/>
    </row>
    <row r="41" ht="12.75" customHeight="1">
      <c r="A41" s="1">
        <v>30.0</v>
      </c>
      <c r="B41" s="408">
        <f t="shared" si="5"/>
        <v>489357.75</v>
      </c>
      <c r="C41" s="408">
        <f t="shared" si="6"/>
        <v>259968.5814</v>
      </c>
      <c r="D41" s="408">
        <f t="shared" si="7"/>
        <v>229389.1685</v>
      </c>
      <c r="E41" s="176">
        <f t="shared" si="8"/>
        <v>113211446.4</v>
      </c>
      <c r="F41" s="408">
        <f t="shared" si="11"/>
        <v>8022412.477</v>
      </c>
      <c r="G41" s="408">
        <f t="shared" si="12"/>
        <v>14680732.5</v>
      </c>
      <c r="H41" s="410">
        <f>IF(K41&gt;='Pro Forma Detail'!D$66,'Pro Forma Detail'!D$67,'Debt ReFi'!$B$5)</f>
        <v>0.0275</v>
      </c>
      <c r="I41" s="1">
        <f t="shared" si="1"/>
        <v>30</v>
      </c>
      <c r="J41" s="406">
        <f t="shared" si="13"/>
        <v>46539</v>
      </c>
      <c r="K41" s="105">
        <f t="shared" si="9"/>
        <v>7</v>
      </c>
      <c r="L41" s="411">
        <f t="shared" si="10"/>
        <v>489357.75</v>
      </c>
      <c r="M41" s="407">
        <f t="shared" si="2"/>
        <v>229389.1685</v>
      </c>
      <c r="N41" s="407">
        <f t="shared" si="3"/>
        <v>259968.5814</v>
      </c>
      <c r="O41" s="407">
        <f t="shared" si="4"/>
        <v>113211446.4</v>
      </c>
      <c r="P41" s="1"/>
    </row>
    <row r="42" ht="12.75" customHeight="1">
      <c r="A42" s="1">
        <v>31.0</v>
      </c>
      <c r="B42" s="408">
        <f t="shared" si="5"/>
        <v>489357.75</v>
      </c>
      <c r="C42" s="408">
        <f t="shared" si="6"/>
        <v>259442.8979</v>
      </c>
      <c r="D42" s="408">
        <f t="shared" si="7"/>
        <v>229914.852</v>
      </c>
      <c r="E42" s="176">
        <f t="shared" si="8"/>
        <v>112981531.5</v>
      </c>
      <c r="F42" s="408">
        <f t="shared" si="11"/>
        <v>8281855.375</v>
      </c>
      <c r="G42" s="408">
        <f t="shared" si="12"/>
        <v>15170090.25</v>
      </c>
      <c r="H42" s="410">
        <f>IF(K42&gt;='Pro Forma Detail'!D$66,'Pro Forma Detail'!D$67,'Debt ReFi'!$B$5)</f>
        <v>0.0275</v>
      </c>
      <c r="I42" s="1">
        <f t="shared" si="1"/>
        <v>31</v>
      </c>
      <c r="J42" s="406">
        <f t="shared" si="13"/>
        <v>46569</v>
      </c>
      <c r="K42" s="105">
        <f t="shared" si="9"/>
        <v>7</v>
      </c>
      <c r="L42" s="411">
        <f t="shared" si="10"/>
        <v>489357.75</v>
      </c>
      <c r="M42" s="407">
        <f t="shared" si="2"/>
        <v>229914.852</v>
      </c>
      <c r="N42" s="407">
        <f t="shared" si="3"/>
        <v>259442.8979</v>
      </c>
      <c r="O42" s="407">
        <f t="shared" si="4"/>
        <v>112981531.5</v>
      </c>
      <c r="P42" s="1"/>
    </row>
    <row r="43" ht="12.75" customHeight="1">
      <c r="A43" s="1">
        <v>32.0</v>
      </c>
      <c r="B43" s="408">
        <f t="shared" si="5"/>
        <v>489357.75</v>
      </c>
      <c r="C43" s="408">
        <f t="shared" si="6"/>
        <v>258916.0097</v>
      </c>
      <c r="D43" s="408">
        <f t="shared" si="7"/>
        <v>230441.7402</v>
      </c>
      <c r="E43" s="176">
        <f t="shared" si="8"/>
        <v>112751089.8</v>
      </c>
      <c r="F43" s="408">
        <f t="shared" si="11"/>
        <v>8540771.384</v>
      </c>
      <c r="G43" s="408">
        <f t="shared" si="12"/>
        <v>15659448</v>
      </c>
      <c r="H43" s="410">
        <f>IF(K43&gt;='Pro Forma Detail'!D$66,'Pro Forma Detail'!D$67,'Debt ReFi'!$B$5)</f>
        <v>0.0275</v>
      </c>
      <c r="I43" s="1">
        <f t="shared" si="1"/>
        <v>32</v>
      </c>
      <c r="J43" s="406">
        <f t="shared" si="13"/>
        <v>46600</v>
      </c>
      <c r="K43" s="105">
        <f t="shared" si="9"/>
        <v>7</v>
      </c>
      <c r="L43" s="411">
        <f t="shared" si="10"/>
        <v>489357.75</v>
      </c>
      <c r="M43" s="407">
        <f t="shared" si="2"/>
        <v>230441.7402</v>
      </c>
      <c r="N43" s="407">
        <f t="shared" si="3"/>
        <v>258916.0097</v>
      </c>
      <c r="O43" s="407">
        <f t="shared" si="4"/>
        <v>112751089.8</v>
      </c>
      <c r="P43" s="1"/>
    </row>
    <row r="44" ht="12.75" customHeight="1">
      <c r="A44" s="1">
        <v>33.0</v>
      </c>
      <c r="B44" s="408">
        <f t="shared" si="5"/>
        <v>489357.75</v>
      </c>
      <c r="C44" s="408">
        <f t="shared" si="6"/>
        <v>258387.9141</v>
      </c>
      <c r="D44" s="408">
        <f t="shared" si="7"/>
        <v>230969.8359</v>
      </c>
      <c r="E44" s="176">
        <f t="shared" si="8"/>
        <v>112520119.9</v>
      </c>
      <c r="F44" s="408">
        <f t="shared" si="11"/>
        <v>8799159.299</v>
      </c>
      <c r="G44" s="408">
        <f t="shared" si="12"/>
        <v>16148805.75</v>
      </c>
      <c r="H44" s="410">
        <f>IF(K44&gt;='Pro Forma Detail'!D$66,'Pro Forma Detail'!D$67,'Debt ReFi'!$B$5)</f>
        <v>0.0275</v>
      </c>
      <c r="I44" s="1">
        <f t="shared" si="1"/>
        <v>33</v>
      </c>
      <c r="J44" s="406">
        <f t="shared" si="13"/>
        <v>46631</v>
      </c>
      <c r="K44" s="105">
        <f t="shared" si="9"/>
        <v>7</v>
      </c>
      <c r="L44" s="411">
        <f t="shared" si="10"/>
        <v>489357.75</v>
      </c>
      <c r="M44" s="407">
        <f t="shared" si="2"/>
        <v>230969.8359</v>
      </c>
      <c r="N44" s="407">
        <f t="shared" si="3"/>
        <v>258387.9141</v>
      </c>
      <c r="O44" s="407">
        <f t="shared" si="4"/>
        <v>112520119.9</v>
      </c>
      <c r="P44" s="1"/>
    </row>
    <row r="45" ht="12.75" customHeight="1">
      <c r="A45" s="1">
        <v>34.0</v>
      </c>
      <c r="B45" s="408">
        <f t="shared" si="5"/>
        <v>489357.75</v>
      </c>
      <c r="C45" s="408">
        <f t="shared" si="6"/>
        <v>257858.6082</v>
      </c>
      <c r="D45" s="408">
        <f t="shared" si="7"/>
        <v>231499.1418</v>
      </c>
      <c r="E45" s="176">
        <f t="shared" si="8"/>
        <v>112288620.8</v>
      </c>
      <c r="F45" s="408">
        <f t="shared" si="11"/>
        <v>9057017.907</v>
      </c>
      <c r="G45" s="408">
        <f t="shared" si="12"/>
        <v>16638163.5</v>
      </c>
      <c r="H45" s="410">
        <f>IF(K45&gt;='Pro Forma Detail'!D$66,'Pro Forma Detail'!D$67,'Debt ReFi'!$B$5)</f>
        <v>0.0275</v>
      </c>
      <c r="I45" s="1">
        <f t="shared" si="1"/>
        <v>34</v>
      </c>
      <c r="J45" s="406">
        <f t="shared" si="13"/>
        <v>46661</v>
      </c>
      <c r="K45" s="105">
        <f t="shared" si="9"/>
        <v>7</v>
      </c>
      <c r="L45" s="411">
        <f t="shared" si="10"/>
        <v>489357.75</v>
      </c>
      <c r="M45" s="407">
        <f t="shared" si="2"/>
        <v>231499.1418</v>
      </c>
      <c r="N45" s="407">
        <f t="shared" si="3"/>
        <v>257858.6082</v>
      </c>
      <c r="O45" s="407">
        <f t="shared" si="4"/>
        <v>112288620.8</v>
      </c>
      <c r="P45" s="1"/>
    </row>
    <row r="46" ht="12.75" customHeight="1">
      <c r="A46" s="1">
        <v>35.0</v>
      </c>
      <c r="B46" s="408">
        <f t="shared" si="5"/>
        <v>489357.75</v>
      </c>
      <c r="C46" s="408">
        <f t="shared" si="6"/>
        <v>257328.0893</v>
      </c>
      <c r="D46" s="408">
        <f t="shared" si="7"/>
        <v>232029.6606</v>
      </c>
      <c r="E46" s="176">
        <f t="shared" si="8"/>
        <v>112056591.1</v>
      </c>
      <c r="F46" s="408">
        <f t="shared" si="11"/>
        <v>9314345.996</v>
      </c>
      <c r="G46" s="408">
        <f t="shared" si="12"/>
        <v>17127521.25</v>
      </c>
      <c r="H46" s="410">
        <f>IF(K46&gt;='Pro Forma Detail'!D$66,'Pro Forma Detail'!D$67,'Debt ReFi'!$B$5)</f>
        <v>0.0275</v>
      </c>
      <c r="I46" s="1">
        <f t="shared" si="1"/>
        <v>35</v>
      </c>
      <c r="J46" s="406">
        <f t="shared" si="13"/>
        <v>46692</v>
      </c>
      <c r="K46" s="105">
        <f t="shared" si="9"/>
        <v>7</v>
      </c>
      <c r="L46" s="411">
        <f t="shared" si="10"/>
        <v>489357.75</v>
      </c>
      <c r="M46" s="407">
        <f t="shared" si="2"/>
        <v>232029.6606</v>
      </c>
      <c r="N46" s="407">
        <f t="shared" si="3"/>
        <v>257328.0893</v>
      </c>
      <c r="O46" s="407">
        <f t="shared" si="4"/>
        <v>112056591.1</v>
      </c>
      <c r="P46" s="1"/>
    </row>
    <row r="47" ht="12.75" customHeight="1">
      <c r="A47" s="1">
        <v>36.0</v>
      </c>
      <c r="B47" s="408">
        <f t="shared" si="5"/>
        <v>489357.75</v>
      </c>
      <c r="C47" s="408">
        <f t="shared" si="6"/>
        <v>256796.3547</v>
      </c>
      <c r="D47" s="408">
        <f t="shared" si="7"/>
        <v>232561.3953</v>
      </c>
      <c r="E47" s="176">
        <f t="shared" si="8"/>
        <v>111824029.7</v>
      </c>
      <c r="F47" s="408">
        <f t="shared" si="11"/>
        <v>9571142.351</v>
      </c>
      <c r="G47" s="408">
        <f t="shared" si="12"/>
        <v>17616879</v>
      </c>
      <c r="H47" s="410">
        <f>IF(K47&gt;='Pro Forma Detail'!D$66,'Pro Forma Detail'!D$67,'Debt ReFi'!$B$5)</f>
        <v>0.0275</v>
      </c>
      <c r="I47" s="1">
        <f t="shared" si="1"/>
        <v>36</v>
      </c>
      <c r="J47" s="406">
        <f t="shared" si="13"/>
        <v>46722</v>
      </c>
      <c r="K47" s="105">
        <f t="shared" si="9"/>
        <v>7</v>
      </c>
      <c r="L47" s="411">
        <f t="shared" si="10"/>
        <v>489357.75</v>
      </c>
      <c r="M47" s="407">
        <f t="shared" si="2"/>
        <v>232561.3953</v>
      </c>
      <c r="N47" s="407">
        <f t="shared" si="3"/>
        <v>256796.3547</v>
      </c>
      <c r="O47" s="407">
        <f t="shared" si="4"/>
        <v>111824029.7</v>
      </c>
      <c r="P47" s="1"/>
    </row>
    <row r="48" ht="12.75" customHeight="1">
      <c r="A48" s="1">
        <v>37.0</v>
      </c>
      <c r="B48" s="408">
        <f t="shared" si="5"/>
        <v>489357.75</v>
      </c>
      <c r="C48" s="408">
        <f t="shared" si="6"/>
        <v>256263.4015</v>
      </c>
      <c r="D48" s="408">
        <f t="shared" si="7"/>
        <v>233094.3485</v>
      </c>
      <c r="E48" s="176">
        <f t="shared" si="8"/>
        <v>111590935.4</v>
      </c>
      <c r="F48" s="408">
        <f t="shared" si="11"/>
        <v>9827405.752</v>
      </c>
      <c r="G48" s="408">
        <f t="shared" si="12"/>
        <v>18106236.75</v>
      </c>
      <c r="H48" s="410">
        <f>IF(K48&gt;='Pro Forma Detail'!D$66,'Pro Forma Detail'!D$67,'Debt ReFi'!$B$5)</f>
        <v>0.0275</v>
      </c>
      <c r="I48" s="1">
        <f t="shared" si="1"/>
        <v>37</v>
      </c>
      <c r="J48" s="406">
        <f t="shared" si="13"/>
        <v>46753</v>
      </c>
      <c r="K48" s="105">
        <f t="shared" si="9"/>
        <v>8</v>
      </c>
      <c r="L48" s="411">
        <f t="shared" si="10"/>
        <v>489357.75</v>
      </c>
      <c r="M48" s="407">
        <f t="shared" si="2"/>
        <v>233094.3485</v>
      </c>
      <c r="N48" s="407">
        <f t="shared" si="3"/>
        <v>256263.4015</v>
      </c>
      <c r="O48" s="407">
        <f t="shared" si="4"/>
        <v>111590935.4</v>
      </c>
      <c r="P48" s="1"/>
    </row>
    <row r="49" ht="12.75" customHeight="1">
      <c r="A49" s="1">
        <v>38.0</v>
      </c>
      <c r="B49" s="408">
        <f t="shared" si="5"/>
        <v>489357.75</v>
      </c>
      <c r="C49" s="408">
        <f t="shared" si="6"/>
        <v>255729.2269</v>
      </c>
      <c r="D49" s="408">
        <f t="shared" si="7"/>
        <v>233628.523</v>
      </c>
      <c r="E49" s="176">
        <f t="shared" si="8"/>
        <v>111357306.9</v>
      </c>
      <c r="F49" s="408">
        <f t="shared" si="11"/>
        <v>10083134.98</v>
      </c>
      <c r="G49" s="408">
        <f t="shared" si="12"/>
        <v>18595594.5</v>
      </c>
      <c r="H49" s="410">
        <f>IF(K49&gt;='Pro Forma Detail'!D$66,'Pro Forma Detail'!D$67,'Debt ReFi'!$B$5)</f>
        <v>0.0275</v>
      </c>
      <c r="I49" s="1">
        <f t="shared" si="1"/>
        <v>38</v>
      </c>
      <c r="J49" s="406">
        <f t="shared" si="13"/>
        <v>46784</v>
      </c>
      <c r="K49" s="105">
        <f t="shared" si="9"/>
        <v>8</v>
      </c>
      <c r="L49" s="411">
        <f t="shared" si="10"/>
        <v>489357.75</v>
      </c>
      <c r="M49" s="407">
        <f t="shared" si="2"/>
        <v>233628.523</v>
      </c>
      <c r="N49" s="407">
        <f t="shared" si="3"/>
        <v>255729.2269</v>
      </c>
      <c r="O49" s="407">
        <f t="shared" si="4"/>
        <v>111357306.9</v>
      </c>
      <c r="P49" s="1"/>
    </row>
    <row r="50" ht="12.75" customHeight="1">
      <c r="A50" s="1">
        <v>39.0</v>
      </c>
      <c r="B50" s="408">
        <f t="shared" si="5"/>
        <v>489357.75</v>
      </c>
      <c r="C50" s="408">
        <f t="shared" si="6"/>
        <v>255193.8282</v>
      </c>
      <c r="D50" s="408">
        <f t="shared" si="7"/>
        <v>234163.9217</v>
      </c>
      <c r="E50" s="176">
        <f t="shared" si="8"/>
        <v>111123142.9</v>
      </c>
      <c r="F50" s="408">
        <f t="shared" si="11"/>
        <v>10338328.81</v>
      </c>
      <c r="G50" s="408">
        <f t="shared" si="12"/>
        <v>19084952.25</v>
      </c>
      <c r="H50" s="410">
        <f>IF(K50&gt;='Pro Forma Detail'!D$66,'Pro Forma Detail'!D$67,'Debt ReFi'!$B$5)</f>
        <v>0.0275</v>
      </c>
      <c r="I50" s="1">
        <f t="shared" si="1"/>
        <v>39</v>
      </c>
      <c r="J50" s="406">
        <f t="shared" si="13"/>
        <v>46813</v>
      </c>
      <c r="K50" s="105">
        <f t="shared" si="9"/>
        <v>8</v>
      </c>
      <c r="L50" s="411">
        <f t="shared" si="10"/>
        <v>489357.75</v>
      </c>
      <c r="M50" s="407">
        <f t="shared" si="2"/>
        <v>234163.9217</v>
      </c>
      <c r="N50" s="407">
        <f t="shared" si="3"/>
        <v>255193.8282</v>
      </c>
      <c r="O50" s="407">
        <f t="shared" si="4"/>
        <v>111123142.9</v>
      </c>
      <c r="P50" s="1"/>
    </row>
    <row r="51" ht="12.75" customHeight="1">
      <c r="A51" s="1">
        <v>40.0</v>
      </c>
      <c r="B51" s="408">
        <f t="shared" si="5"/>
        <v>489357.75</v>
      </c>
      <c r="C51" s="408">
        <f t="shared" si="6"/>
        <v>254657.2026</v>
      </c>
      <c r="D51" s="408">
        <f t="shared" si="7"/>
        <v>234700.5474</v>
      </c>
      <c r="E51" s="176">
        <f t="shared" si="8"/>
        <v>110888442.4</v>
      </c>
      <c r="F51" s="408">
        <f t="shared" si="11"/>
        <v>10592986.01</v>
      </c>
      <c r="G51" s="408">
        <f t="shared" si="12"/>
        <v>19574310</v>
      </c>
      <c r="H51" s="410">
        <f>IF(K51&gt;='Pro Forma Detail'!D$66,'Pro Forma Detail'!D$67,'Debt ReFi'!$B$5)</f>
        <v>0.0275</v>
      </c>
      <c r="I51" s="1">
        <f t="shared" si="1"/>
        <v>40</v>
      </c>
      <c r="J51" s="406">
        <f t="shared" si="13"/>
        <v>46844</v>
      </c>
      <c r="K51" s="105">
        <f t="shared" si="9"/>
        <v>8</v>
      </c>
      <c r="L51" s="411">
        <f t="shared" si="10"/>
        <v>489357.75</v>
      </c>
      <c r="M51" s="407">
        <f t="shared" si="2"/>
        <v>234700.5474</v>
      </c>
      <c r="N51" s="407">
        <f t="shared" si="3"/>
        <v>254657.2026</v>
      </c>
      <c r="O51" s="407">
        <f t="shared" si="4"/>
        <v>110888442.4</v>
      </c>
      <c r="P51" s="1"/>
    </row>
    <row r="52" ht="12.75" customHeight="1">
      <c r="A52" s="1">
        <v>41.0</v>
      </c>
      <c r="B52" s="408">
        <f t="shared" si="5"/>
        <v>489357.75</v>
      </c>
      <c r="C52" s="408">
        <f t="shared" si="6"/>
        <v>254119.3472</v>
      </c>
      <c r="D52" s="408">
        <f t="shared" si="7"/>
        <v>235238.4028</v>
      </c>
      <c r="E52" s="176">
        <f t="shared" si="8"/>
        <v>110653204</v>
      </c>
      <c r="F52" s="408">
        <f t="shared" si="11"/>
        <v>10847105.36</v>
      </c>
      <c r="G52" s="408">
        <f t="shared" si="12"/>
        <v>20063667.75</v>
      </c>
      <c r="H52" s="410">
        <f>IF(K52&gt;='Pro Forma Detail'!D$66,'Pro Forma Detail'!D$67,'Debt ReFi'!$B$5)</f>
        <v>0.0275</v>
      </c>
      <c r="I52" s="1">
        <f t="shared" si="1"/>
        <v>41</v>
      </c>
      <c r="J52" s="406">
        <f t="shared" si="13"/>
        <v>46874</v>
      </c>
      <c r="K52" s="105">
        <f t="shared" si="9"/>
        <v>8</v>
      </c>
      <c r="L52" s="411">
        <f t="shared" si="10"/>
        <v>489357.75</v>
      </c>
      <c r="M52" s="407">
        <f t="shared" si="2"/>
        <v>235238.4028</v>
      </c>
      <c r="N52" s="407">
        <f t="shared" si="3"/>
        <v>254119.3472</v>
      </c>
      <c r="O52" s="407">
        <f t="shared" si="4"/>
        <v>110653204</v>
      </c>
      <c r="P52" s="1"/>
    </row>
    <row r="53" ht="12.75" customHeight="1">
      <c r="A53" s="1">
        <v>42.0</v>
      </c>
      <c r="B53" s="408">
        <f t="shared" si="5"/>
        <v>489357.75</v>
      </c>
      <c r="C53" s="408">
        <f t="shared" si="6"/>
        <v>253580.2592</v>
      </c>
      <c r="D53" s="408">
        <f t="shared" si="7"/>
        <v>235777.4908</v>
      </c>
      <c r="E53" s="176">
        <f t="shared" si="8"/>
        <v>110417426.5</v>
      </c>
      <c r="F53" s="408">
        <f t="shared" si="11"/>
        <v>11100685.62</v>
      </c>
      <c r="G53" s="408">
        <f t="shared" si="12"/>
        <v>20553025.5</v>
      </c>
      <c r="H53" s="410">
        <f>IF(K53&gt;='Pro Forma Detail'!D$66,'Pro Forma Detail'!D$67,'Debt ReFi'!$B$5)</f>
        <v>0.0275</v>
      </c>
      <c r="I53" s="1">
        <f t="shared" si="1"/>
        <v>42</v>
      </c>
      <c r="J53" s="406">
        <f t="shared" si="13"/>
        <v>46905</v>
      </c>
      <c r="K53" s="105">
        <f t="shared" si="9"/>
        <v>8</v>
      </c>
      <c r="L53" s="411">
        <f t="shared" si="10"/>
        <v>489357.75</v>
      </c>
      <c r="M53" s="407">
        <f t="shared" si="2"/>
        <v>235777.4908</v>
      </c>
      <c r="N53" s="407">
        <f t="shared" si="3"/>
        <v>253580.2592</v>
      </c>
      <c r="O53" s="407">
        <f t="shared" si="4"/>
        <v>110417426.5</v>
      </c>
      <c r="P53" s="1"/>
    </row>
    <row r="54" ht="12.75" customHeight="1">
      <c r="A54" s="1">
        <v>43.0</v>
      </c>
      <c r="B54" s="408">
        <f t="shared" si="5"/>
        <v>489357.75</v>
      </c>
      <c r="C54" s="408">
        <f t="shared" si="6"/>
        <v>253039.9357</v>
      </c>
      <c r="D54" s="408">
        <f t="shared" si="7"/>
        <v>236317.8142</v>
      </c>
      <c r="E54" s="176">
        <f t="shared" si="8"/>
        <v>110181108.7</v>
      </c>
      <c r="F54" s="408">
        <f t="shared" si="11"/>
        <v>11353725.55</v>
      </c>
      <c r="G54" s="408">
        <f t="shared" si="12"/>
        <v>21042383.25</v>
      </c>
      <c r="H54" s="410">
        <f>IF(K54&gt;='Pro Forma Detail'!D$66,'Pro Forma Detail'!D$67,'Debt ReFi'!$B$5)</f>
        <v>0.0275</v>
      </c>
      <c r="I54" s="1">
        <f t="shared" si="1"/>
        <v>43</v>
      </c>
      <c r="J54" s="406">
        <f t="shared" si="13"/>
        <v>46935</v>
      </c>
      <c r="K54" s="105">
        <f t="shared" si="9"/>
        <v>8</v>
      </c>
      <c r="L54" s="411">
        <f t="shared" si="10"/>
        <v>489357.75</v>
      </c>
      <c r="M54" s="407">
        <f t="shared" si="2"/>
        <v>236317.8142</v>
      </c>
      <c r="N54" s="407">
        <f t="shared" si="3"/>
        <v>253039.9357</v>
      </c>
      <c r="O54" s="407">
        <f t="shared" si="4"/>
        <v>110181108.7</v>
      </c>
      <c r="P54" s="1"/>
    </row>
    <row r="55" ht="12.75" customHeight="1">
      <c r="A55" s="1">
        <v>44.0</v>
      </c>
      <c r="B55" s="408">
        <f t="shared" si="5"/>
        <v>489357.75</v>
      </c>
      <c r="C55" s="408">
        <f t="shared" si="6"/>
        <v>252498.3741</v>
      </c>
      <c r="D55" s="408">
        <f t="shared" si="7"/>
        <v>236859.3759</v>
      </c>
      <c r="E55" s="176">
        <f t="shared" si="8"/>
        <v>109944249.3</v>
      </c>
      <c r="F55" s="408">
        <f t="shared" si="11"/>
        <v>11606223.93</v>
      </c>
      <c r="G55" s="408">
        <f t="shared" si="12"/>
        <v>21531741</v>
      </c>
      <c r="H55" s="410">
        <f>IF(K55&gt;='Pro Forma Detail'!D$66,'Pro Forma Detail'!D$67,'Debt ReFi'!$B$5)</f>
        <v>0.0275</v>
      </c>
      <c r="I55" s="1">
        <f t="shared" si="1"/>
        <v>44</v>
      </c>
      <c r="J55" s="406">
        <f t="shared" si="13"/>
        <v>46966</v>
      </c>
      <c r="K55" s="105">
        <f t="shared" si="9"/>
        <v>8</v>
      </c>
      <c r="L55" s="411">
        <f t="shared" si="10"/>
        <v>489357.75</v>
      </c>
      <c r="M55" s="407">
        <f t="shared" si="2"/>
        <v>236859.3759</v>
      </c>
      <c r="N55" s="407">
        <f t="shared" si="3"/>
        <v>252498.3741</v>
      </c>
      <c r="O55" s="407">
        <f t="shared" si="4"/>
        <v>109944249.3</v>
      </c>
      <c r="P55" s="1"/>
    </row>
    <row r="56" ht="12.75" customHeight="1">
      <c r="A56" s="1">
        <v>45.0</v>
      </c>
      <c r="B56" s="408">
        <f t="shared" si="5"/>
        <v>489357.75</v>
      </c>
      <c r="C56" s="408">
        <f t="shared" si="6"/>
        <v>251955.5713</v>
      </c>
      <c r="D56" s="408">
        <f t="shared" si="7"/>
        <v>237402.1786</v>
      </c>
      <c r="E56" s="176">
        <f t="shared" si="8"/>
        <v>109706847.1</v>
      </c>
      <c r="F56" s="408">
        <f t="shared" si="11"/>
        <v>11858179.5</v>
      </c>
      <c r="G56" s="408">
        <f t="shared" si="12"/>
        <v>22021098.75</v>
      </c>
      <c r="H56" s="410">
        <f>IF(K56&gt;='Pro Forma Detail'!D$66,'Pro Forma Detail'!D$67,'Debt ReFi'!$B$5)</f>
        <v>0.0275</v>
      </c>
      <c r="I56" s="1">
        <f t="shared" si="1"/>
        <v>45</v>
      </c>
      <c r="J56" s="406">
        <f t="shared" si="13"/>
        <v>46997</v>
      </c>
      <c r="K56" s="105">
        <f t="shared" si="9"/>
        <v>8</v>
      </c>
      <c r="L56" s="411">
        <f t="shared" si="10"/>
        <v>489357.75</v>
      </c>
      <c r="M56" s="407">
        <f t="shared" si="2"/>
        <v>237402.1786</v>
      </c>
      <c r="N56" s="407">
        <f t="shared" si="3"/>
        <v>251955.5713</v>
      </c>
      <c r="O56" s="407">
        <f t="shared" si="4"/>
        <v>109706847.1</v>
      </c>
      <c r="P56" s="1"/>
    </row>
    <row r="57" ht="12.75" customHeight="1">
      <c r="A57" s="1">
        <v>46.0</v>
      </c>
      <c r="B57" s="408">
        <f t="shared" si="5"/>
        <v>489357.75</v>
      </c>
      <c r="C57" s="408">
        <f t="shared" si="6"/>
        <v>251411.5247</v>
      </c>
      <c r="D57" s="408">
        <f t="shared" si="7"/>
        <v>237946.2253</v>
      </c>
      <c r="E57" s="176">
        <f t="shared" si="8"/>
        <v>109468900.9</v>
      </c>
      <c r="F57" s="408">
        <f t="shared" si="11"/>
        <v>12109591.02</v>
      </c>
      <c r="G57" s="408">
        <f t="shared" si="12"/>
        <v>22510456.5</v>
      </c>
      <c r="H57" s="410">
        <f>IF(K57&gt;='Pro Forma Detail'!D$66,'Pro Forma Detail'!D$67,'Debt ReFi'!$B$5)</f>
        <v>0.0275</v>
      </c>
      <c r="I57" s="1">
        <f t="shared" si="1"/>
        <v>46</v>
      </c>
      <c r="J57" s="406">
        <f t="shared" si="13"/>
        <v>47027</v>
      </c>
      <c r="K57" s="105">
        <f t="shared" si="9"/>
        <v>8</v>
      </c>
      <c r="L57" s="411">
        <f t="shared" si="10"/>
        <v>489357.75</v>
      </c>
      <c r="M57" s="407">
        <f t="shared" si="2"/>
        <v>237946.2253</v>
      </c>
      <c r="N57" s="407">
        <f t="shared" si="3"/>
        <v>251411.5247</v>
      </c>
      <c r="O57" s="407">
        <f t="shared" si="4"/>
        <v>109468900.9</v>
      </c>
      <c r="P57" s="1"/>
    </row>
    <row r="58" ht="12.75" customHeight="1">
      <c r="A58" s="1">
        <v>47.0</v>
      </c>
      <c r="B58" s="408">
        <f t="shared" si="5"/>
        <v>489357.75</v>
      </c>
      <c r="C58" s="408">
        <f t="shared" si="6"/>
        <v>250866.2313</v>
      </c>
      <c r="D58" s="408">
        <f t="shared" si="7"/>
        <v>238491.5187</v>
      </c>
      <c r="E58" s="176">
        <f t="shared" si="8"/>
        <v>109230409.4</v>
      </c>
      <c r="F58" s="408">
        <f t="shared" si="11"/>
        <v>12360457.25</v>
      </c>
      <c r="G58" s="408">
        <f t="shared" si="12"/>
        <v>22999814.25</v>
      </c>
      <c r="H58" s="410">
        <f>IF(K58&gt;='Pro Forma Detail'!D$66,'Pro Forma Detail'!D$67,'Debt ReFi'!$B$5)</f>
        <v>0.0275</v>
      </c>
      <c r="I58" s="1">
        <f t="shared" si="1"/>
        <v>47</v>
      </c>
      <c r="J58" s="406">
        <f t="shared" si="13"/>
        <v>47058</v>
      </c>
      <c r="K58" s="105">
        <f t="shared" si="9"/>
        <v>8</v>
      </c>
      <c r="L58" s="411">
        <f t="shared" si="10"/>
        <v>489357.75</v>
      </c>
      <c r="M58" s="407">
        <f t="shared" si="2"/>
        <v>238491.5187</v>
      </c>
      <c r="N58" s="407">
        <f t="shared" si="3"/>
        <v>250866.2313</v>
      </c>
      <c r="O58" s="407">
        <f t="shared" si="4"/>
        <v>109230409.4</v>
      </c>
      <c r="P58" s="1"/>
    </row>
    <row r="59" ht="12.75" customHeight="1">
      <c r="A59" s="1">
        <v>48.0</v>
      </c>
      <c r="B59" s="408">
        <f t="shared" si="5"/>
        <v>489357.75</v>
      </c>
      <c r="C59" s="408">
        <f t="shared" si="6"/>
        <v>250319.6882</v>
      </c>
      <c r="D59" s="408">
        <f t="shared" si="7"/>
        <v>239038.0618</v>
      </c>
      <c r="E59" s="176">
        <f t="shared" si="8"/>
        <v>108991371.3</v>
      </c>
      <c r="F59" s="408">
        <f t="shared" si="11"/>
        <v>12610776.94</v>
      </c>
      <c r="G59" s="408">
        <f t="shared" si="12"/>
        <v>23489172</v>
      </c>
      <c r="H59" s="410">
        <f>IF(K59&gt;='Pro Forma Detail'!D$66,'Pro Forma Detail'!D$67,'Debt ReFi'!$B$5)</f>
        <v>0.0275</v>
      </c>
      <c r="I59" s="1">
        <f t="shared" si="1"/>
        <v>48</v>
      </c>
      <c r="J59" s="406">
        <f t="shared" si="13"/>
        <v>47088</v>
      </c>
      <c r="K59" s="105">
        <f t="shared" si="9"/>
        <v>8</v>
      </c>
      <c r="L59" s="411">
        <f t="shared" si="10"/>
        <v>489357.75</v>
      </c>
      <c r="M59" s="407">
        <f t="shared" si="2"/>
        <v>239038.0618</v>
      </c>
      <c r="N59" s="407">
        <f t="shared" si="3"/>
        <v>250319.6882</v>
      </c>
      <c r="O59" s="407">
        <f t="shared" si="4"/>
        <v>108991371.3</v>
      </c>
      <c r="P59" s="1"/>
    </row>
    <row r="60" ht="12.75" customHeight="1">
      <c r="A60" s="1">
        <v>49.0</v>
      </c>
      <c r="B60" s="408">
        <f t="shared" si="5"/>
        <v>489357.75</v>
      </c>
      <c r="C60" s="408">
        <f t="shared" si="6"/>
        <v>249771.8926</v>
      </c>
      <c r="D60" s="408">
        <f t="shared" si="7"/>
        <v>239585.8573</v>
      </c>
      <c r="E60" s="176">
        <f t="shared" si="8"/>
        <v>108751785.5</v>
      </c>
      <c r="F60" s="408">
        <f t="shared" si="11"/>
        <v>12860548.83</v>
      </c>
      <c r="G60" s="408">
        <f t="shared" si="12"/>
        <v>23978529.75</v>
      </c>
      <c r="H60" s="410">
        <f>IF(K60&gt;='Pro Forma Detail'!D$66,'Pro Forma Detail'!D$67,'Debt ReFi'!$B$5)</f>
        <v>0.0275</v>
      </c>
      <c r="I60" s="1">
        <f t="shared" si="1"/>
        <v>49</v>
      </c>
      <c r="J60" s="406">
        <f t="shared" si="13"/>
        <v>47119</v>
      </c>
      <c r="K60" s="105">
        <f t="shared" si="9"/>
        <v>9</v>
      </c>
      <c r="L60" s="411">
        <f t="shared" si="10"/>
        <v>489357.75</v>
      </c>
      <c r="M60" s="407">
        <f t="shared" si="2"/>
        <v>239585.8573</v>
      </c>
      <c r="N60" s="407">
        <f t="shared" si="3"/>
        <v>249771.8926</v>
      </c>
      <c r="O60" s="407">
        <f t="shared" si="4"/>
        <v>108751785.5</v>
      </c>
      <c r="P60" s="1"/>
    </row>
    <row r="61" ht="12.75" customHeight="1">
      <c r="A61" s="1">
        <v>50.0</v>
      </c>
      <c r="B61" s="408">
        <f t="shared" si="5"/>
        <v>489357.75</v>
      </c>
      <c r="C61" s="408">
        <f t="shared" si="6"/>
        <v>249222.8417</v>
      </c>
      <c r="D61" s="408">
        <f t="shared" si="7"/>
        <v>240134.9082</v>
      </c>
      <c r="E61" s="176">
        <f t="shared" si="8"/>
        <v>108511650.6</v>
      </c>
      <c r="F61" s="408">
        <f t="shared" si="11"/>
        <v>13109771.68</v>
      </c>
      <c r="G61" s="408">
        <f t="shared" si="12"/>
        <v>24467887.5</v>
      </c>
      <c r="H61" s="410">
        <f>IF(K61&gt;='Pro Forma Detail'!D$66,'Pro Forma Detail'!D$67,'Debt ReFi'!$B$5)</f>
        <v>0.0275</v>
      </c>
      <c r="I61" s="1">
        <f t="shared" si="1"/>
        <v>50</v>
      </c>
      <c r="J61" s="406">
        <f t="shared" si="13"/>
        <v>47150</v>
      </c>
      <c r="K61" s="105">
        <f t="shared" si="9"/>
        <v>9</v>
      </c>
      <c r="L61" s="411">
        <f t="shared" si="10"/>
        <v>489357.75</v>
      </c>
      <c r="M61" s="407">
        <f t="shared" si="2"/>
        <v>240134.9082</v>
      </c>
      <c r="N61" s="407">
        <f t="shared" si="3"/>
        <v>249222.8417</v>
      </c>
      <c r="O61" s="407">
        <f t="shared" si="4"/>
        <v>108511650.6</v>
      </c>
      <c r="P61" s="1"/>
    </row>
    <row r="62" ht="12.75" customHeight="1">
      <c r="A62" s="1">
        <v>51.0</v>
      </c>
      <c r="B62" s="408">
        <f t="shared" si="5"/>
        <v>489357.75</v>
      </c>
      <c r="C62" s="408">
        <f t="shared" si="6"/>
        <v>248672.5325</v>
      </c>
      <c r="D62" s="408">
        <f t="shared" si="7"/>
        <v>240685.2174</v>
      </c>
      <c r="E62" s="176">
        <f t="shared" si="8"/>
        <v>108270965.3</v>
      </c>
      <c r="F62" s="408">
        <f t="shared" si="11"/>
        <v>13358444.21</v>
      </c>
      <c r="G62" s="408">
        <f t="shared" si="12"/>
        <v>24957245.25</v>
      </c>
      <c r="H62" s="410">
        <f>IF(K62&gt;='Pro Forma Detail'!D$66,'Pro Forma Detail'!D$67,'Debt ReFi'!$B$5)</f>
        <v>0.0275</v>
      </c>
      <c r="I62" s="1">
        <f t="shared" si="1"/>
        <v>51</v>
      </c>
      <c r="J62" s="406">
        <f t="shared" si="13"/>
        <v>47178</v>
      </c>
      <c r="K62" s="105">
        <f t="shared" si="9"/>
        <v>9</v>
      </c>
      <c r="L62" s="411">
        <f t="shared" si="10"/>
        <v>489357.75</v>
      </c>
      <c r="M62" s="407">
        <f t="shared" si="2"/>
        <v>240685.2174</v>
      </c>
      <c r="N62" s="407">
        <f t="shared" si="3"/>
        <v>248672.5325</v>
      </c>
      <c r="O62" s="407">
        <f t="shared" si="4"/>
        <v>108270965.3</v>
      </c>
      <c r="P62" s="1"/>
    </row>
    <row r="63" ht="12.75" customHeight="1">
      <c r="A63" s="1">
        <v>52.0</v>
      </c>
      <c r="B63" s="408">
        <f t="shared" si="5"/>
        <v>489357.75</v>
      </c>
      <c r="C63" s="408">
        <f t="shared" si="6"/>
        <v>248120.9623</v>
      </c>
      <c r="D63" s="408">
        <f t="shared" si="7"/>
        <v>241236.7877</v>
      </c>
      <c r="E63" s="176">
        <f t="shared" si="8"/>
        <v>108029728.6</v>
      </c>
      <c r="F63" s="408">
        <f t="shared" si="11"/>
        <v>13606565.17</v>
      </c>
      <c r="G63" s="408">
        <f t="shared" si="12"/>
        <v>25446603</v>
      </c>
      <c r="H63" s="410">
        <f>IF(K63&gt;='Pro Forma Detail'!D$66,'Pro Forma Detail'!D$67,'Debt ReFi'!$B$5)</f>
        <v>0.0275</v>
      </c>
      <c r="I63" s="1">
        <f t="shared" si="1"/>
        <v>52</v>
      </c>
      <c r="J63" s="406">
        <f t="shared" si="13"/>
        <v>47209</v>
      </c>
      <c r="K63" s="105">
        <f t="shared" si="9"/>
        <v>9</v>
      </c>
      <c r="L63" s="411">
        <f t="shared" si="10"/>
        <v>489357.75</v>
      </c>
      <c r="M63" s="407">
        <f t="shared" si="2"/>
        <v>241236.7877</v>
      </c>
      <c r="N63" s="407">
        <f t="shared" si="3"/>
        <v>248120.9623</v>
      </c>
      <c r="O63" s="407">
        <f t="shared" si="4"/>
        <v>108029728.6</v>
      </c>
      <c r="P63" s="1"/>
    </row>
    <row r="64" ht="12.75" customHeight="1">
      <c r="A64" s="1">
        <v>53.0</v>
      </c>
      <c r="B64" s="408">
        <f t="shared" si="5"/>
        <v>489357.75</v>
      </c>
      <c r="C64" s="408">
        <f t="shared" si="6"/>
        <v>247568.1279</v>
      </c>
      <c r="D64" s="408">
        <f t="shared" si="7"/>
        <v>241789.622</v>
      </c>
      <c r="E64" s="176">
        <f t="shared" si="8"/>
        <v>107787938.9</v>
      </c>
      <c r="F64" s="408">
        <f t="shared" si="11"/>
        <v>13854133.3</v>
      </c>
      <c r="G64" s="408">
        <f t="shared" si="12"/>
        <v>25935960.75</v>
      </c>
      <c r="H64" s="410">
        <f>IF(K64&gt;='Pro Forma Detail'!D$66,'Pro Forma Detail'!D$67,'Debt ReFi'!$B$5)</f>
        <v>0.0275</v>
      </c>
      <c r="I64" s="1">
        <f t="shared" si="1"/>
        <v>53</v>
      </c>
      <c r="J64" s="406">
        <f t="shared" si="13"/>
        <v>47239</v>
      </c>
      <c r="K64" s="105">
        <f t="shared" si="9"/>
        <v>9</v>
      </c>
      <c r="L64" s="411">
        <f t="shared" si="10"/>
        <v>489357.75</v>
      </c>
      <c r="M64" s="407">
        <f t="shared" si="2"/>
        <v>241789.622</v>
      </c>
      <c r="N64" s="407">
        <f t="shared" si="3"/>
        <v>247568.1279</v>
      </c>
      <c r="O64" s="407">
        <f t="shared" si="4"/>
        <v>107787938.9</v>
      </c>
      <c r="P64" s="1"/>
    </row>
    <row r="65" ht="12.75" customHeight="1">
      <c r="A65" s="1">
        <v>54.0</v>
      </c>
      <c r="B65" s="408">
        <f t="shared" si="5"/>
        <v>489357.75</v>
      </c>
      <c r="C65" s="408">
        <f t="shared" si="6"/>
        <v>247014.0267</v>
      </c>
      <c r="D65" s="408">
        <f t="shared" si="7"/>
        <v>242343.7232</v>
      </c>
      <c r="E65" s="176">
        <f t="shared" si="8"/>
        <v>107545595.2</v>
      </c>
      <c r="F65" s="408">
        <f t="shared" si="11"/>
        <v>14101147.33</v>
      </c>
      <c r="G65" s="408">
        <f t="shared" si="12"/>
        <v>26425318.5</v>
      </c>
      <c r="H65" s="410">
        <f>IF(K65&gt;='Pro Forma Detail'!D$66,'Pro Forma Detail'!D$67,'Debt ReFi'!$B$5)</f>
        <v>0.0275</v>
      </c>
      <c r="I65" s="1">
        <f t="shared" si="1"/>
        <v>54</v>
      </c>
      <c r="J65" s="406">
        <f t="shared" si="13"/>
        <v>47270</v>
      </c>
      <c r="K65" s="105">
        <f t="shared" si="9"/>
        <v>9</v>
      </c>
      <c r="L65" s="411">
        <f t="shared" si="10"/>
        <v>489357.75</v>
      </c>
      <c r="M65" s="407">
        <f t="shared" si="2"/>
        <v>242343.7232</v>
      </c>
      <c r="N65" s="407">
        <f t="shared" si="3"/>
        <v>247014.0267</v>
      </c>
      <c r="O65" s="407">
        <f t="shared" si="4"/>
        <v>107545595.2</v>
      </c>
      <c r="P65" s="1"/>
    </row>
    <row r="66" ht="12.75" customHeight="1">
      <c r="A66" s="1">
        <v>55.0</v>
      </c>
      <c r="B66" s="408">
        <f t="shared" si="5"/>
        <v>489357.75</v>
      </c>
      <c r="C66" s="408">
        <f t="shared" si="6"/>
        <v>246458.6557</v>
      </c>
      <c r="D66" s="408">
        <f t="shared" si="7"/>
        <v>242899.0943</v>
      </c>
      <c r="E66" s="176">
        <f t="shared" si="8"/>
        <v>107302696.1</v>
      </c>
      <c r="F66" s="408">
        <f t="shared" si="11"/>
        <v>14347605.98</v>
      </c>
      <c r="G66" s="408">
        <f t="shared" si="12"/>
        <v>26914676.25</v>
      </c>
      <c r="H66" s="410">
        <f>IF(K66&gt;='Pro Forma Detail'!D$66,'Pro Forma Detail'!D$67,'Debt ReFi'!$B$5)</f>
        <v>0.0275</v>
      </c>
      <c r="I66" s="1">
        <f t="shared" si="1"/>
        <v>55</v>
      </c>
      <c r="J66" s="406">
        <f t="shared" si="13"/>
        <v>47300</v>
      </c>
      <c r="K66" s="105">
        <f t="shared" si="9"/>
        <v>9</v>
      </c>
      <c r="L66" s="411">
        <f t="shared" si="10"/>
        <v>489357.75</v>
      </c>
      <c r="M66" s="407">
        <f t="shared" si="2"/>
        <v>242899.0943</v>
      </c>
      <c r="N66" s="407">
        <f t="shared" si="3"/>
        <v>246458.6557</v>
      </c>
      <c r="O66" s="407">
        <f t="shared" si="4"/>
        <v>107302696.1</v>
      </c>
      <c r="P66" s="1"/>
    </row>
    <row r="67" ht="12.75" customHeight="1">
      <c r="A67" s="1">
        <v>56.0</v>
      </c>
      <c r="B67" s="408">
        <f t="shared" si="5"/>
        <v>489357.75</v>
      </c>
      <c r="C67" s="408">
        <f t="shared" si="6"/>
        <v>245902.0119</v>
      </c>
      <c r="D67" s="408">
        <f t="shared" si="7"/>
        <v>243455.738</v>
      </c>
      <c r="E67" s="176">
        <f t="shared" si="8"/>
        <v>107059240.4</v>
      </c>
      <c r="F67" s="408">
        <f t="shared" si="11"/>
        <v>14593507.99</v>
      </c>
      <c r="G67" s="408">
        <f t="shared" si="12"/>
        <v>27404034</v>
      </c>
      <c r="H67" s="410">
        <f>IF(K67&gt;='Pro Forma Detail'!D$66,'Pro Forma Detail'!D$67,'Debt ReFi'!$B$5)</f>
        <v>0.0275</v>
      </c>
      <c r="I67" s="1">
        <f t="shared" si="1"/>
        <v>56</v>
      </c>
      <c r="J67" s="406">
        <f t="shared" si="13"/>
        <v>47331</v>
      </c>
      <c r="K67" s="105">
        <f t="shared" si="9"/>
        <v>9</v>
      </c>
      <c r="L67" s="411">
        <f t="shared" si="10"/>
        <v>489357.75</v>
      </c>
      <c r="M67" s="407">
        <f t="shared" si="2"/>
        <v>243455.738</v>
      </c>
      <c r="N67" s="407">
        <f t="shared" si="3"/>
        <v>245902.0119</v>
      </c>
      <c r="O67" s="407">
        <f t="shared" si="4"/>
        <v>107059240.4</v>
      </c>
      <c r="P67" s="1"/>
    </row>
    <row r="68" ht="12.75" customHeight="1">
      <c r="A68" s="1">
        <v>57.0</v>
      </c>
      <c r="B68" s="408">
        <f t="shared" si="5"/>
        <v>489357.75</v>
      </c>
      <c r="C68" s="408">
        <f t="shared" si="6"/>
        <v>245344.0925</v>
      </c>
      <c r="D68" s="408">
        <f t="shared" si="7"/>
        <v>244013.6574</v>
      </c>
      <c r="E68" s="176">
        <f t="shared" si="8"/>
        <v>106815226.7</v>
      </c>
      <c r="F68" s="408">
        <f t="shared" si="11"/>
        <v>14838852.09</v>
      </c>
      <c r="G68" s="408">
        <f t="shared" si="12"/>
        <v>27893391.75</v>
      </c>
      <c r="H68" s="410">
        <f>IF(K68&gt;='Pro Forma Detail'!D$66,'Pro Forma Detail'!D$67,'Debt ReFi'!$B$5)</f>
        <v>0.0275</v>
      </c>
      <c r="I68" s="1">
        <f t="shared" si="1"/>
        <v>57</v>
      </c>
      <c r="J68" s="406">
        <f t="shared" si="13"/>
        <v>47362</v>
      </c>
      <c r="K68" s="105">
        <f t="shared" si="9"/>
        <v>9</v>
      </c>
      <c r="L68" s="411">
        <f t="shared" si="10"/>
        <v>489357.75</v>
      </c>
      <c r="M68" s="407">
        <f t="shared" si="2"/>
        <v>244013.6574</v>
      </c>
      <c r="N68" s="407">
        <f t="shared" si="3"/>
        <v>245344.0925</v>
      </c>
      <c r="O68" s="407">
        <f t="shared" si="4"/>
        <v>106815226.7</v>
      </c>
      <c r="P68" s="1"/>
    </row>
    <row r="69" ht="12.75" customHeight="1">
      <c r="A69" s="1">
        <v>58.0</v>
      </c>
      <c r="B69" s="408">
        <f t="shared" si="5"/>
        <v>489357.75</v>
      </c>
      <c r="C69" s="408">
        <f t="shared" si="6"/>
        <v>244784.8946</v>
      </c>
      <c r="D69" s="408">
        <f t="shared" si="7"/>
        <v>244572.8554</v>
      </c>
      <c r="E69" s="176">
        <f t="shared" si="8"/>
        <v>106570653.9</v>
      </c>
      <c r="F69" s="408">
        <f t="shared" si="11"/>
        <v>15083636.98</v>
      </c>
      <c r="G69" s="408">
        <f t="shared" si="12"/>
        <v>28382749.5</v>
      </c>
      <c r="H69" s="410">
        <f>IF(K69&gt;='Pro Forma Detail'!D$66,'Pro Forma Detail'!D$67,'Debt ReFi'!$B$5)</f>
        <v>0.0275</v>
      </c>
      <c r="I69" s="1">
        <f t="shared" si="1"/>
        <v>58</v>
      </c>
      <c r="J69" s="406">
        <f t="shared" si="13"/>
        <v>47392</v>
      </c>
      <c r="K69" s="105">
        <f t="shared" si="9"/>
        <v>9</v>
      </c>
      <c r="L69" s="411">
        <f t="shared" si="10"/>
        <v>489357.75</v>
      </c>
      <c r="M69" s="407">
        <f t="shared" si="2"/>
        <v>244572.8554</v>
      </c>
      <c r="N69" s="407">
        <f t="shared" si="3"/>
        <v>244784.8946</v>
      </c>
      <c r="O69" s="407">
        <f t="shared" si="4"/>
        <v>106570653.9</v>
      </c>
      <c r="P69" s="1"/>
    </row>
    <row r="70" ht="12.75" customHeight="1">
      <c r="A70" s="1">
        <v>59.0</v>
      </c>
      <c r="B70" s="408">
        <f t="shared" si="5"/>
        <v>489357.75</v>
      </c>
      <c r="C70" s="408">
        <f t="shared" si="6"/>
        <v>244224.4151</v>
      </c>
      <c r="D70" s="408">
        <f t="shared" si="7"/>
        <v>245133.3348</v>
      </c>
      <c r="E70" s="176">
        <f t="shared" si="8"/>
        <v>106325520.5</v>
      </c>
      <c r="F70" s="408">
        <f t="shared" si="11"/>
        <v>15327861.4</v>
      </c>
      <c r="G70" s="408">
        <f t="shared" si="12"/>
        <v>28872107.25</v>
      </c>
      <c r="H70" s="410">
        <f>IF(K70&gt;='Pro Forma Detail'!D$66,'Pro Forma Detail'!D$67,'Debt ReFi'!$B$5)</f>
        <v>0.0275</v>
      </c>
      <c r="I70" s="1">
        <f t="shared" si="1"/>
        <v>59</v>
      </c>
      <c r="J70" s="406">
        <f t="shared" si="13"/>
        <v>47423</v>
      </c>
      <c r="K70" s="105">
        <f t="shared" si="9"/>
        <v>9</v>
      </c>
      <c r="L70" s="411">
        <f t="shared" si="10"/>
        <v>489357.75</v>
      </c>
      <c r="M70" s="407">
        <f t="shared" si="2"/>
        <v>245133.3348</v>
      </c>
      <c r="N70" s="407">
        <f t="shared" si="3"/>
        <v>244224.4151</v>
      </c>
      <c r="O70" s="407">
        <f t="shared" si="4"/>
        <v>106325520.5</v>
      </c>
      <c r="P70" s="1"/>
    </row>
    <row r="71" ht="12.75" customHeight="1">
      <c r="A71" s="1">
        <v>60.0</v>
      </c>
      <c r="B71" s="408">
        <f t="shared" si="5"/>
        <v>489357.75</v>
      </c>
      <c r="C71" s="408">
        <f t="shared" si="6"/>
        <v>243662.6512</v>
      </c>
      <c r="D71" s="408">
        <f t="shared" si="7"/>
        <v>245695.0987</v>
      </c>
      <c r="E71" s="176">
        <f t="shared" si="8"/>
        <v>106079825.4</v>
      </c>
      <c r="F71" s="408">
        <f t="shared" si="11"/>
        <v>15571524.05</v>
      </c>
      <c r="G71" s="408">
        <f t="shared" si="12"/>
        <v>29361465</v>
      </c>
      <c r="H71" s="410">
        <f>IF(K71&gt;='Pro Forma Detail'!D$66,'Pro Forma Detail'!D$67,'Debt ReFi'!$B$5)</f>
        <v>0.0275</v>
      </c>
      <c r="I71" s="1">
        <f t="shared" si="1"/>
        <v>60</v>
      </c>
      <c r="J71" s="406">
        <f t="shared" si="13"/>
        <v>47453</v>
      </c>
      <c r="K71" s="105">
        <f t="shared" si="9"/>
        <v>9</v>
      </c>
      <c r="L71" s="411">
        <f t="shared" si="10"/>
        <v>489357.75</v>
      </c>
      <c r="M71" s="407">
        <f t="shared" si="2"/>
        <v>245695.0987</v>
      </c>
      <c r="N71" s="407">
        <f t="shared" si="3"/>
        <v>243662.6512</v>
      </c>
      <c r="O71" s="407">
        <f t="shared" si="4"/>
        <v>106079825.4</v>
      </c>
      <c r="P71" s="1"/>
    </row>
    <row r="72" ht="12.75" customHeight="1">
      <c r="A72" s="1">
        <v>61.0</v>
      </c>
      <c r="B72" s="408">
        <f t="shared" si="5"/>
        <v>489357.75</v>
      </c>
      <c r="C72" s="408">
        <f t="shared" si="6"/>
        <v>243099.6</v>
      </c>
      <c r="D72" s="408">
        <f t="shared" si="7"/>
        <v>246258.15</v>
      </c>
      <c r="E72" s="176">
        <f t="shared" si="8"/>
        <v>105833567.3</v>
      </c>
      <c r="F72" s="408">
        <f t="shared" si="11"/>
        <v>15814623.65</v>
      </c>
      <c r="G72" s="408">
        <f t="shared" si="12"/>
        <v>29850822.75</v>
      </c>
      <c r="H72" s="410">
        <f>IF(K72&gt;='Pro Forma Detail'!D$66,'Pro Forma Detail'!D$67,'Debt ReFi'!$B$5)</f>
        <v>0.0275</v>
      </c>
      <c r="I72" s="1">
        <f t="shared" si="1"/>
        <v>61</v>
      </c>
      <c r="J72" s="406">
        <f t="shared" si="13"/>
        <v>47484</v>
      </c>
      <c r="K72" s="105">
        <f t="shared" si="9"/>
        <v>10</v>
      </c>
      <c r="L72" s="411">
        <f t="shared" si="10"/>
        <v>489357.75</v>
      </c>
      <c r="M72" s="407">
        <f t="shared" si="2"/>
        <v>246258.15</v>
      </c>
      <c r="N72" s="407">
        <f t="shared" si="3"/>
        <v>243099.6</v>
      </c>
      <c r="O72" s="407">
        <f t="shared" si="4"/>
        <v>105833567.3</v>
      </c>
      <c r="P72" s="1"/>
    </row>
    <row r="73" ht="12.75" customHeight="1">
      <c r="A73" s="1">
        <v>62.0</v>
      </c>
      <c r="B73" s="408">
        <f t="shared" si="5"/>
        <v>489357.75</v>
      </c>
      <c r="C73" s="408">
        <f t="shared" si="6"/>
        <v>242535.2584</v>
      </c>
      <c r="D73" s="408">
        <f t="shared" si="7"/>
        <v>246822.4916</v>
      </c>
      <c r="E73" s="176">
        <f t="shared" si="8"/>
        <v>105586744.8</v>
      </c>
      <c r="F73" s="408">
        <f t="shared" si="11"/>
        <v>16057158.9</v>
      </c>
      <c r="G73" s="408">
        <f t="shared" si="12"/>
        <v>30340180.5</v>
      </c>
      <c r="H73" s="410">
        <f>IF(K73&gt;='Pro Forma Detail'!D$66,'Pro Forma Detail'!D$67,'Debt ReFi'!$B$5)</f>
        <v>0.0275</v>
      </c>
      <c r="I73" s="1">
        <f t="shared" si="1"/>
        <v>62</v>
      </c>
      <c r="J73" s="406">
        <f t="shared" si="13"/>
        <v>47515</v>
      </c>
      <c r="K73" s="105">
        <f t="shared" si="9"/>
        <v>10</v>
      </c>
      <c r="L73" s="411">
        <f t="shared" si="10"/>
        <v>489357.75</v>
      </c>
      <c r="M73" s="407">
        <f t="shared" si="2"/>
        <v>246822.4916</v>
      </c>
      <c r="N73" s="407">
        <f t="shared" si="3"/>
        <v>242535.2584</v>
      </c>
      <c r="O73" s="407">
        <f t="shared" si="4"/>
        <v>105586744.8</v>
      </c>
      <c r="P73" s="1"/>
    </row>
    <row r="74" ht="12.75" customHeight="1">
      <c r="A74" s="1">
        <v>63.0</v>
      </c>
      <c r="B74" s="408">
        <f t="shared" si="5"/>
        <v>489357.75</v>
      </c>
      <c r="C74" s="408">
        <f t="shared" si="6"/>
        <v>241969.6235</v>
      </c>
      <c r="D74" s="408">
        <f t="shared" si="7"/>
        <v>247388.1265</v>
      </c>
      <c r="E74" s="176">
        <f t="shared" si="8"/>
        <v>105339356.7</v>
      </c>
      <c r="F74" s="408">
        <f t="shared" si="11"/>
        <v>16299128.53</v>
      </c>
      <c r="G74" s="408">
        <f t="shared" si="12"/>
        <v>30829538.25</v>
      </c>
      <c r="H74" s="410">
        <f>IF(K74&gt;='Pro Forma Detail'!D$66,'Pro Forma Detail'!D$67,'Debt ReFi'!$B$5)</f>
        <v>0.0275</v>
      </c>
      <c r="I74" s="1">
        <f t="shared" si="1"/>
        <v>63</v>
      </c>
      <c r="J74" s="406">
        <f t="shared" si="13"/>
        <v>47543</v>
      </c>
      <c r="K74" s="105">
        <f t="shared" si="9"/>
        <v>10</v>
      </c>
      <c r="L74" s="411">
        <f t="shared" si="10"/>
        <v>489357.75</v>
      </c>
      <c r="M74" s="407">
        <f t="shared" si="2"/>
        <v>247388.1265</v>
      </c>
      <c r="N74" s="407">
        <f t="shared" si="3"/>
        <v>241969.6235</v>
      </c>
      <c r="O74" s="407">
        <f t="shared" si="4"/>
        <v>105339356.7</v>
      </c>
      <c r="P74" s="1"/>
    </row>
    <row r="75" ht="12.75" customHeight="1">
      <c r="A75" s="1">
        <v>64.0</v>
      </c>
      <c r="B75" s="408">
        <f t="shared" si="5"/>
        <v>489357.75</v>
      </c>
      <c r="C75" s="408">
        <f t="shared" si="6"/>
        <v>241402.6924</v>
      </c>
      <c r="D75" s="408">
        <f t="shared" si="7"/>
        <v>247955.0576</v>
      </c>
      <c r="E75" s="176">
        <f t="shared" si="8"/>
        <v>105091401.6</v>
      </c>
      <c r="F75" s="408">
        <f t="shared" si="11"/>
        <v>16540531.22</v>
      </c>
      <c r="G75" s="408">
        <f t="shared" si="12"/>
        <v>31318896</v>
      </c>
      <c r="H75" s="410">
        <f>IF(K75&gt;='Pro Forma Detail'!D$66,'Pro Forma Detail'!D$67,'Debt ReFi'!$B$5)</f>
        <v>0.0275</v>
      </c>
      <c r="I75" s="1">
        <f t="shared" si="1"/>
        <v>64</v>
      </c>
      <c r="J75" s="406">
        <f t="shared" si="13"/>
        <v>47574</v>
      </c>
      <c r="K75" s="105">
        <f t="shared" si="9"/>
        <v>10</v>
      </c>
      <c r="L75" s="411">
        <f t="shared" si="10"/>
        <v>489357.75</v>
      </c>
      <c r="M75" s="407">
        <f t="shared" si="2"/>
        <v>247955.0576</v>
      </c>
      <c r="N75" s="407">
        <f t="shared" si="3"/>
        <v>241402.6924</v>
      </c>
      <c r="O75" s="407">
        <f t="shared" si="4"/>
        <v>105091401.6</v>
      </c>
      <c r="P75" s="1"/>
    </row>
    <row r="76" ht="12.75" customHeight="1">
      <c r="A76" s="1">
        <v>65.0</v>
      </c>
      <c r="B76" s="408">
        <f t="shared" si="5"/>
        <v>489357.75</v>
      </c>
      <c r="C76" s="408">
        <f t="shared" si="6"/>
        <v>240834.462</v>
      </c>
      <c r="D76" s="408">
        <f t="shared" si="7"/>
        <v>248523.2879</v>
      </c>
      <c r="E76" s="176">
        <f t="shared" si="8"/>
        <v>104842878.3</v>
      </c>
      <c r="F76" s="408">
        <f t="shared" si="11"/>
        <v>16781365.68</v>
      </c>
      <c r="G76" s="408">
        <f t="shared" si="12"/>
        <v>31808253.75</v>
      </c>
      <c r="H76" s="410">
        <f>IF(K76&gt;='Pro Forma Detail'!D$66,'Pro Forma Detail'!D$67,'Debt ReFi'!$B$5)</f>
        <v>0.0275</v>
      </c>
      <c r="I76" s="1">
        <f t="shared" si="1"/>
        <v>65</v>
      </c>
      <c r="J76" s="406">
        <f t="shared" si="13"/>
        <v>47604</v>
      </c>
      <c r="K76" s="105">
        <f t="shared" si="9"/>
        <v>10</v>
      </c>
      <c r="L76" s="411">
        <f t="shared" si="10"/>
        <v>489357.75</v>
      </c>
      <c r="M76" s="407">
        <f t="shared" si="2"/>
        <v>248523.2879</v>
      </c>
      <c r="N76" s="407">
        <f t="shared" si="3"/>
        <v>240834.462</v>
      </c>
      <c r="O76" s="407">
        <f t="shared" si="4"/>
        <v>104842878.3</v>
      </c>
      <c r="P76" s="1"/>
    </row>
    <row r="77" ht="12.75" customHeight="1">
      <c r="A77" s="1">
        <v>66.0</v>
      </c>
      <c r="B77" s="408">
        <f t="shared" si="5"/>
        <v>489357.75</v>
      </c>
      <c r="C77" s="408">
        <f t="shared" si="6"/>
        <v>240264.9295</v>
      </c>
      <c r="D77" s="408">
        <f t="shared" si="7"/>
        <v>249092.8205</v>
      </c>
      <c r="E77" s="176">
        <f t="shared" si="8"/>
        <v>104593785.5</v>
      </c>
      <c r="F77" s="408">
        <f t="shared" si="11"/>
        <v>17021630.61</v>
      </c>
      <c r="G77" s="408">
        <f t="shared" si="12"/>
        <v>32297611.5</v>
      </c>
      <c r="H77" s="410">
        <f>IF(K77&gt;='Pro Forma Detail'!D$66,'Pro Forma Detail'!D$67,'Debt ReFi'!$B$5)</f>
        <v>0.0275</v>
      </c>
      <c r="I77" s="1">
        <f t="shared" si="1"/>
        <v>66</v>
      </c>
      <c r="J77" s="406">
        <f t="shared" si="13"/>
        <v>47635</v>
      </c>
      <c r="K77" s="105">
        <f t="shared" si="9"/>
        <v>10</v>
      </c>
      <c r="L77" s="411">
        <f t="shared" si="10"/>
        <v>489357.75</v>
      </c>
      <c r="M77" s="407">
        <f t="shared" si="2"/>
        <v>249092.8205</v>
      </c>
      <c r="N77" s="407">
        <f t="shared" si="3"/>
        <v>240264.9295</v>
      </c>
      <c r="O77" s="407">
        <f t="shared" si="4"/>
        <v>104593785.5</v>
      </c>
      <c r="P77" s="1"/>
    </row>
    <row r="78" ht="12.75" customHeight="1">
      <c r="A78" s="1">
        <v>67.0</v>
      </c>
      <c r="B78" s="408">
        <f t="shared" si="5"/>
        <v>489357.75</v>
      </c>
      <c r="C78" s="408">
        <f t="shared" si="6"/>
        <v>239694.0918</v>
      </c>
      <c r="D78" s="408">
        <f t="shared" si="7"/>
        <v>249663.6582</v>
      </c>
      <c r="E78" s="176">
        <f t="shared" si="8"/>
        <v>104344121.8</v>
      </c>
      <c r="F78" s="408">
        <f t="shared" si="11"/>
        <v>17261324.7</v>
      </c>
      <c r="G78" s="408">
        <f t="shared" si="12"/>
        <v>32786969.25</v>
      </c>
      <c r="H78" s="410">
        <f>IF(K78&gt;='Pro Forma Detail'!D$66,'Pro Forma Detail'!D$67,'Debt ReFi'!$B$5)</f>
        <v>0.0275</v>
      </c>
      <c r="I78" s="1">
        <f t="shared" si="1"/>
        <v>67</v>
      </c>
      <c r="J78" s="406">
        <f t="shared" si="13"/>
        <v>47665</v>
      </c>
      <c r="K78" s="105">
        <f t="shared" si="9"/>
        <v>10</v>
      </c>
      <c r="L78" s="411">
        <f t="shared" si="10"/>
        <v>489357.75</v>
      </c>
      <c r="M78" s="407">
        <f t="shared" si="2"/>
        <v>249663.6582</v>
      </c>
      <c r="N78" s="407">
        <f t="shared" si="3"/>
        <v>239694.0918</v>
      </c>
      <c r="O78" s="407">
        <f t="shared" si="4"/>
        <v>104344121.8</v>
      </c>
      <c r="P78" s="1"/>
    </row>
    <row r="79" ht="12.75" customHeight="1">
      <c r="A79" s="1">
        <v>68.0</v>
      </c>
      <c r="B79" s="408">
        <f t="shared" si="5"/>
        <v>489357.75</v>
      </c>
      <c r="C79" s="408">
        <f t="shared" si="6"/>
        <v>239121.9459</v>
      </c>
      <c r="D79" s="408">
        <f t="shared" si="7"/>
        <v>250235.8041</v>
      </c>
      <c r="E79" s="176">
        <f t="shared" si="8"/>
        <v>104093886</v>
      </c>
      <c r="F79" s="408">
        <f t="shared" si="11"/>
        <v>17500446.65</v>
      </c>
      <c r="G79" s="408">
        <f t="shared" si="12"/>
        <v>33276327</v>
      </c>
      <c r="H79" s="410">
        <f>IF(K79&gt;='Pro Forma Detail'!D$66,'Pro Forma Detail'!D$67,'Debt ReFi'!$B$5)</f>
        <v>0.0275</v>
      </c>
      <c r="I79" s="1">
        <f t="shared" si="1"/>
        <v>68</v>
      </c>
      <c r="J79" s="406">
        <f t="shared" si="13"/>
        <v>47696</v>
      </c>
      <c r="K79" s="105">
        <f t="shared" si="9"/>
        <v>10</v>
      </c>
      <c r="L79" s="411">
        <f t="shared" si="10"/>
        <v>489357.75</v>
      </c>
      <c r="M79" s="407">
        <f t="shared" si="2"/>
        <v>250235.8041</v>
      </c>
      <c r="N79" s="407">
        <f t="shared" si="3"/>
        <v>239121.9459</v>
      </c>
      <c r="O79" s="407">
        <f t="shared" si="4"/>
        <v>104093886</v>
      </c>
      <c r="P79" s="1"/>
    </row>
    <row r="80" ht="12.75" customHeight="1">
      <c r="A80" s="1">
        <v>69.0</v>
      </c>
      <c r="B80" s="408">
        <f t="shared" si="5"/>
        <v>489357.75</v>
      </c>
      <c r="C80" s="408">
        <f t="shared" si="6"/>
        <v>238548.4888</v>
      </c>
      <c r="D80" s="408">
        <f t="shared" si="7"/>
        <v>250809.2611</v>
      </c>
      <c r="E80" s="176">
        <f t="shared" si="8"/>
        <v>103843076.8</v>
      </c>
      <c r="F80" s="408">
        <f t="shared" si="11"/>
        <v>17738995.14</v>
      </c>
      <c r="G80" s="408">
        <f t="shared" si="12"/>
        <v>33765684.75</v>
      </c>
      <c r="H80" s="410">
        <f>IF(K80&gt;='Pro Forma Detail'!D$66,'Pro Forma Detail'!D$67,'Debt ReFi'!$B$5)</f>
        <v>0.0275</v>
      </c>
      <c r="I80" s="1">
        <f t="shared" si="1"/>
        <v>69</v>
      </c>
      <c r="J80" s="406">
        <f t="shared" si="13"/>
        <v>47727</v>
      </c>
      <c r="K80" s="105">
        <f t="shared" si="9"/>
        <v>10</v>
      </c>
      <c r="L80" s="411">
        <f t="shared" si="10"/>
        <v>489357.75</v>
      </c>
      <c r="M80" s="407">
        <f t="shared" si="2"/>
        <v>250809.2611</v>
      </c>
      <c r="N80" s="407">
        <f t="shared" si="3"/>
        <v>238548.4888</v>
      </c>
      <c r="O80" s="407">
        <f t="shared" si="4"/>
        <v>103843076.8</v>
      </c>
      <c r="P80" s="1"/>
    </row>
    <row r="81" ht="12.75" customHeight="1">
      <c r="A81" s="1">
        <v>70.0</v>
      </c>
      <c r="B81" s="408">
        <f t="shared" si="5"/>
        <v>489357.75</v>
      </c>
      <c r="C81" s="408">
        <f t="shared" si="6"/>
        <v>237973.7176</v>
      </c>
      <c r="D81" s="408">
        <f t="shared" si="7"/>
        <v>251384.0323</v>
      </c>
      <c r="E81" s="176">
        <f t="shared" si="8"/>
        <v>103591692.7</v>
      </c>
      <c r="F81" s="408">
        <f t="shared" si="11"/>
        <v>17976968.86</v>
      </c>
      <c r="G81" s="408">
        <f t="shared" si="12"/>
        <v>34255042.5</v>
      </c>
      <c r="H81" s="410">
        <f>IF(K81&gt;='Pro Forma Detail'!D$66,'Pro Forma Detail'!D$67,'Debt ReFi'!$B$5)</f>
        <v>0.0275</v>
      </c>
      <c r="I81" s="1">
        <f t="shared" si="1"/>
        <v>70</v>
      </c>
      <c r="J81" s="406">
        <f t="shared" si="13"/>
        <v>47757</v>
      </c>
      <c r="K81" s="105">
        <f t="shared" si="9"/>
        <v>10</v>
      </c>
      <c r="L81" s="411">
        <f t="shared" si="10"/>
        <v>489357.75</v>
      </c>
      <c r="M81" s="407">
        <f t="shared" si="2"/>
        <v>251384.0323</v>
      </c>
      <c r="N81" s="407">
        <f t="shared" si="3"/>
        <v>237973.7176</v>
      </c>
      <c r="O81" s="407">
        <f t="shared" si="4"/>
        <v>103591692.7</v>
      </c>
      <c r="P81" s="1"/>
    </row>
    <row r="82" ht="12.75" customHeight="1">
      <c r="A82" s="1">
        <v>71.0</v>
      </c>
      <c r="B82" s="408">
        <f t="shared" si="5"/>
        <v>489357.75</v>
      </c>
      <c r="C82" s="408">
        <f t="shared" si="6"/>
        <v>237397.6292</v>
      </c>
      <c r="D82" s="408">
        <f t="shared" si="7"/>
        <v>251960.1207</v>
      </c>
      <c r="E82" s="176">
        <f t="shared" si="8"/>
        <v>103339732.6</v>
      </c>
      <c r="F82" s="408">
        <f t="shared" si="11"/>
        <v>18214366.49</v>
      </c>
      <c r="G82" s="408">
        <f t="shared" si="12"/>
        <v>34744400.25</v>
      </c>
      <c r="H82" s="410">
        <f>IF(K82&gt;='Pro Forma Detail'!D$66,'Pro Forma Detail'!D$67,'Debt ReFi'!$B$5)</f>
        <v>0.0275</v>
      </c>
      <c r="I82" s="1">
        <f t="shared" si="1"/>
        <v>71</v>
      </c>
      <c r="J82" s="406">
        <f t="shared" si="13"/>
        <v>47788</v>
      </c>
      <c r="K82" s="105">
        <f t="shared" si="9"/>
        <v>10</v>
      </c>
      <c r="L82" s="411">
        <f t="shared" si="10"/>
        <v>489357.75</v>
      </c>
      <c r="M82" s="407">
        <f t="shared" si="2"/>
        <v>251960.1207</v>
      </c>
      <c r="N82" s="407">
        <f t="shared" si="3"/>
        <v>237397.6292</v>
      </c>
      <c r="O82" s="407">
        <f t="shared" si="4"/>
        <v>103339732.6</v>
      </c>
      <c r="P82" s="1"/>
    </row>
    <row r="83" ht="12.75" customHeight="1">
      <c r="A83" s="1">
        <v>72.0</v>
      </c>
      <c r="B83" s="408">
        <f t="shared" si="5"/>
        <v>489357.75</v>
      </c>
      <c r="C83" s="408">
        <f t="shared" si="6"/>
        <v>236820.2206</v>
      </c>
      <c r="D83" s="408">
        <f t="shared" si="7"/>
        <v>252537.5294</v>
      </c>
      <c r="E83" s="176">
        <f t="shared" si="8"/>
        <v>103087195.1</v>
      </c>
      <c r="F83" s="408">
        <f t="shared" si="11"/>
        <v>18451186.71</v>
      </c>
      <c r="G83" s="408">
        <f t="shared" si="12"/>
        <v>35233758</v>
      </c>
      <c r="H83" s="410">
        <f>IF(K83&gt;='Pro Forma Detail'!D$66,'Pro Forma Detail'!D$67,'Debt ReFi'!$B$5)</f>
        <v>0.0275</v>
      </c>
      <c r="I83" s="1">
        <f t="shared" si="1"/>
        <v>72</v>
      </c>
      <c r="J83" s="406">
        <f t="shared" si="13"/>
        <v>47818</v>
      </c>
      <c r="K83" s="105">
        <f t="shared" si="9"/>
        <v>10</v>
      </c>
      <c r="L83" s="411">
        <f t="shared" si="10"/>
        <v>489357.75</v>
      </c>
      <c r="M83" s="407">
        <f t="shared" si="2"/>
        <v>252537.5294</v>
      </c>
      <c r="N83" s="407">
        <f t="shared" si="3"/>
        <v>236820.2206</v>
      </c>
      <c r="O83" s="407">
        <f t="shared" si="4"/>
        <v>103087195.1</v>
      </c>
      <c r="P83" s="1"/>
    </row>
    <row r="84" ht="12.75" customHeight="1">
      <c r="A84" s="1">
        <v>73.0</v>
      </c>
      <c r="B84" s="408">
        <f t="shared" si="5"/>
        <v>489357.75</v>
      </c>
      <c r="C84" s="408">
        <f t="shared" si="6"/>
        <v>236241.4888</v>
      </c>
      <c r="D84" s="408">
        <f t="shared" si="7"/>
        <v>253116.2612</v>
      </c>
      <c r="E84" s="176">
        <f t="shared" si="8"/>
        <v>102834078.8</v>
      </c>
      <c r="F84" s="408">
        <f t="shared" si="11"/>
        <v>18687428.19</v>
      </c>
      <c r="G84" s="408">
        <f t="shared" si="12"/>
        <v>35723115.75</v>
      </c>
      <c r="H84" s="410">
        <f>IF(K84&gt;='Pro Forma Detail'!D$66,'Pro Forma Detail'!D$67,'Debt ReFi'!$B$5)</f>
        <v>0.0275</v>
      </c>
      <c r="I84" s="1">
        <f t="shared" si="1"/>
        <v>73</v>
      </c>
      <c r="J84" s="406">
        <f t="shared" si="13"/>
        <v>47849</v>
      </c>
      <c r="K84" s="105">
        <f t="shared" si="9"/>
        <v>11</v>
      </c>
      <c r="L84" s="411">
        <f t="shared" si="10"/>
        <v>489357.75</v>
      </c>
      <c r="M84" s="407">
        <f t="shared" si="2"/>
        <v>253116.2612</v>
      </c>
      <c r="N84" s="407">
        <f t="shared" si="3"/>
        <v>236241.4888</v>
      </c>
      <c r="O84" s="407">
        <f t="shared" si="4"/>
        <v>102834078.8</v>
      </c>
      <c r="P84" s="1"/>
    </row>
    <row r="85" ht="12.75" customHeight="1">
      <c r="A85" s="1">
        <v>74.0</v>
      </c>
      <c r="B85" s="408">
        <f t="shared" si="5"/>
        <v>489357.75</v>
      </c>
      <c r="C85" s="408">
        <f t="shared" si="6"/>
        <v>235661.4307</v>
      </c>
      <c r="D85" s="408">
        <f t="shared" si="7"/>
        <v>253696.3193</v>
      </c>
      <c r="E85" s="176">
        <f t="shared" si="8"/>
        <v>102580382.5</v>
      </c>
      <c r="F85" s="408">
        <f t="shared" si="11"/>
        <v>18923089.63</v>
      </c>
      <c r="G85" s="408">
        <f t="shared" si="12"/>
        <v>36212473.5</v>
      </c>
      <c r="H85" s="410">
        <f>IF(K85&gt;='Pro Forma Detail'!D$66,'Pro Forma Detail'!D$67,'Debt ReFi'!$B$5)</f>
        <v>0.0275</v>
      </c>
      <c r="I85" s="1">
        <f t="shared" si="1"/>
        <v>74</v>
      </c>
      <c r="J85" s="406">
        <f t="shared" si="13"/>
        <v>47880</v>
      </c>
      <c r="K85" s="105">
        <f t="shared" si="9"/>
        <v>11</v>
      </c>
      <c r="L85" s="411">
        <f t="shared" si="10"/>
        <v>489357.75</v>
      </c>
      <c r="M85" s="407">
        <f t="shared" si="2"/>
        <v>253696.3193</v>
      </c>
      <c r="N85" s="407">
        <f t="shared" si="3"/>
        <v>235661.4307</v>
      </c>
      <c r="O85" s="407">
        <f t="shared" si="4"/>
        <v>102580382.5</v>
      </c>
      <c r="P85" s="1"/>
    </row>
    <row r="86" ht="12.75" customHeight="1">
      <c r="A86" s="1">
        <v>75.0</v>
      </c>
      <c r="B86" s="408">
        <f t="shared" si="5"/>
        <v>489357.75</v>
      </c>
      <c r="C86" s="408">
        <f t="shared" si="6"/>
        <v>235080.0433</v>
      </c>
      <c r="D86" s="408">
        <f t="shared" si="7"/>
        <v>254277.7067</v>
      </c>
      <c r="E86" s="176">
        <f t="shared" si="8"/>
        <v>102326104.8</v>
      </c>
      <c r="F86" s="408">
        <f t="shared" si="11"/>
        <v>19158169.67</v>
      </c>
      <c r="G86" s="408">
        <f t="shared" si="12"/>
        <v>36701831.25</v>
      </c>
      <c r="H86" s="410">
        <f>IF(K86&gt;='Pro Forma Detail'!D$66,'Pro Forma Detail'!D$67,'Debt ReFi'!$B$5)</f>
        <v>0.0275</v>
      </c>
      <c r="I86" s="1">
        <f t="shared" si="1"/>
        <v>75</v>
      </c>
      <c r="J86" s="406">
        <f t="shared" si="13"/>
        <v>47908</v>
      </c>
      <c r="K86" s="105">
        <f t="shared" si="9"/>
        <v>11</v>
      </c>
      <c r="L86" s="411">
        <f t="shared" si="10"/>
        <v>489357.75</v>
      </c>
      <c r="M86" s="407">
        <f t="shared" si="2"/>
        <v>254277.7067</v>
      </c>
      <c r="N86" s="407">
        <f t="shared" si="3"/>
        <v>235080.0433</v>
      </c>
      <c r="O86" s="407">
        <f t="shared" si="4"/>
        <v>102326104.8</v>
      </c>
      <c r="P86" s="1"/>
    </row>
    <row r="87" ht="12.75" customHeight="1">
      <c r="A87" s="1">
        <v>76.0</v>
      </c>
      <c r="B87" s="408">
        <f t="shared" si="5"/>
        <v>489357.75</v>
      </c>
      <c r="C87" s="408">
        <f t="shared" si="6"/>
        <v>234497.3235</v>
      </c>
      <c r="D87" s="408">
        <f t="shared" si="7"/>
        <v>254860.4264</v>
      </c>
      <c r="E87" s="176">
        <f t="shared" si="8"/>
        <v>102071244.4</v>
      </c>
      <c r="F87" s="408">
        <f t="shared" si="11"/>
        <v>19392666.99</v>
      </c>
      <c r="G87" s="408">
        <f t="shared" si="12"/>
        <v>37191189</v>
      </c>
      <c r="H87" s="410">
        <f>IF(K87&gt;='Pro Forma Detail'!D$66,'Pro Forma Detail'!D$67,'Debt ReFi'!$B$5)</f>
        <v>0.0275</v>
      </c>
      <c r="I87" s="1">
        <f t="shared" si="1"/>
        <v>76</v>
      </c>
      <c r="J87" s="406">
        <f t="shared" si="13"/>
        <v>47939</v>
      </c>
      <c r="K87" s="105">
        <f t="shared" si="9"/>
        <v>11</v>
      </c>
      <c r="L87" s="411">
        <f t="shared" si="10"/>
        <v>489357.75</v>
      </c>
      <c r="M87" s="407">
        <f t="shared" si="2"/>
        <v>254860.4264</v>
      </c>
      <c r="N87" s="407">
        <f t="shared" si="3"/>
        <v>234497.3235</v>
      </c>
      <c r="O87" s="407">
        <f t="shared" si="4"/>
        <v>102071244.4</v>
      </c>
      <c r="P87" s="1"/>
    </row>
    <row r="88" ht="12.75" customHeight="1">
      <c r="A88" s="1">
        <v>77.0</v>
      </c>
      <c r="B88" s="408">
        <f t="shared" si="5"/>
        <v>489357.75</v>
      </c>
      <c r="C88" s="408">
        <f t="shared" si="6"/>
        <v>233913.2684</v>
      </c>
      <c r="D88" s="408">
        <f t="shared" si="7"/>
        <v>255444.4816</v>
      </c>
      <c r="E88" s="176">
        <f t="shared" si="8"/>
        <v>101815799.9</v>
      </c>
      <c r="F88" s="408">
        <f t="shared" si="11"/>
        <v>19626580.26</v>
      </c>
      <c r="G88" s="408">
        <f t="shared" si="12"/>
        <v>37680546.75</v>
      </c>
      <c r="H88" s="410">
        <f>IF(K88&gt;='Pro Forma Detail'!D$66,'Pro Forma Detail'!D$67,'Debt ReFi'!$B$5)</f>
        <v>0.0275</v>
      </c>
      <c r="I88" s="1">
        <f t="shared" si="1"/>
        <v>77</v>
      </c>
      <c r="J88" s="406">
        <f t="shared" si="13"/>
        <v>47969</v>
      </c>
      <c r="K88" s="105">
        <f t="shared" si="9"/>
        <v>11</v>
      </c>
      <c r="L88" s="411">
        <f t="shared" si="10"/>
        <v>489357.75</v>
      </c>
      <c r="M88" s="407">
        <f t="shared" si="2"/>
        <v>255444.4816</v>
      </c>
      <c r="N88" s="407">
        <f t="shared" si="3"/>
        <v>233913.2684</v>
      </c>
      <c r="O88" s="407">
        <f t="shared" si="4"/>
        <v>101815799.9</v>
      </c>
      <c r="P88" s="1"/>
    </row>
    <row r="89" ht="12.75" customHeight="1">
      <c r="A89" s="1">
        <v>78.0</v>
      </c>
      <c r="B89" s="408">
        <f t="shared" si="5"/>
        <v>489357.75</v>
      </c>
      <c r="C89" s="408">
        <f t="shared" si="6"/>
        <v>233327.8748</v>
      </c>
      <c r="D89" s="408">
        <f t="shared" si="7"/>
        <v>256029.8752</v>
      </c>
      <c r="E89" s="176">
        <f t="shared" si="8"/>
        <v>101559770</v>
      </c>
      <c r="F89" s="408">
        <f t="shared" si="11"/>
        <v>19859908.14</v>
      </c>
      <c r="G89" s="408">
        <f t="shared" si="12"/>
        <v>38169904.5</v>
      </c>
      <c r="H89" s="410">
        <f>IF(K89&gt;='Pro Forma Detail'!D$66,'Pro Forma Detail'!D$67,'Debt ReFi'!$B$5)</f>
        <v>0.0275</v>
      </c>
      <c r="I89" s="1">
        <f t="shared" si="1"/>
        <v>78</v>
      </c>
      <c r="J89" s="406">
        <f t="shared" si="13"/>
        <v>48000</v>
      </c>
      <c r="K89" s="105">
        <f t="shared" si="9"/>
        <v>11</v>
      </c>
      <c r="L89" s="411">
        <f t="shared" si="10"/>
        <v>489357.75</v>
      </c>
      <c r="M89" s="407">
        <f t="shared" si="2"/>
        <v>256029.8752</v>
      </c>
      <c r="N89" s="407">
        <f t="shared" si="3"/>
        <v>233327.8748</v>
      </c>
      <c r="O89" s="407">
        <f t="shared" si="4"/>
        <v>101559770</v>
      </c>
      <c r="P89" s="1"/>
    </row>
    <row r="90" ht="12.75" customHeight="1">
      <c r="A90" s="1">
        <v>79.0</v>
      </c>
      <c r="B90" s="408">
        <f t="shared" si="5"/>
        <v>489357.75</v>
      </c>
      <c r="C90" s="408">
        <f t="shared" si="6"/>
        <v>232741.1396</v>
      </c>
      <c r="D90" s="408">
        <f t="shared" si="7"/>
        <v>256616.6103</v>
      </c>
      <c r="E90" s="176">
        <f t="shared" si="8"/>
        <v>101303153.4</v>
      </c>
      <c r="F90" s="408">
        <f t="shared" si="11"/>
        <v>20092649.28</v>
      </c>
      <c r="G90" s="408">
        <f t="shared" si="12"/>
        <v>38659262.25</v>
      </c>
      <c r="H90" s="410">
        <f>IF(K90&gt;='Pro Forma Detail'!D$66,'Pro Forma Detail'!D$67,'Debt ReFi'!$B$5)</f>
        <v>0.0275</v>
      </c>
      <c r="I90" s="1">
        <f t="shared" si="1"/>
        <v>79</v>
      </c>
      <c r="J90" s="406">
        <f t="shared" si="13"/>
        <v>48030</v>
      </c>
      <c r="K90" s="105">
        <f t="shared" si="9"/>
        <v>11</v>
      </c>
      <c r="L90" s="411">
        <f t="shared" si="10"/>
        <v>489357.75</v>
      </c>
      <c r="M90" s="407">
        <f t="shared" si="2"/>
        <v>256616.6103</v>
      </c>
      <c r="N90" s="407">
        <f t="shared" si="3"/>
        <v>232741.1396</v>
      </c>
      <c r="O90" s="407">
        <f t="shared" si="4"/>
        <v>101303153.4</v>
      </c>
      <c r="P90" s="1"/>
    </row>
    <row r="91" ht="12.75" customHeight="1">
      <c r="A91" s="1">
        <v>80.0</v>
      </c>
      <c r="B91" s="408">
        <f t="shared" si="5"/>
        <v>489357.75</v>
      </c>
      <c r="C91" s="408">
        <f t="shared" si="6"/>
        <v>232153.0599</v>
      </c>
      <c r="D91" s="408">
        <f t="shared" si="7"/>
        <v>257204.69</v>
      </c>
      <c r="E91" s="176">
        <f t="shared" si="8"/>
        <v>101045948.7</v>
      </c>
      <c r="F91" s="408">
        <f t="shared" si="11"/>
        <v>20324802.34</v>
      </c>
      <c r="G91" s="408">
        <f t="shared" si="12"/>
        <v>39148620</v>
      </c>
      <c r="H91" s="410">
        <f>IF(K91&gt;='Pro Forma Detail'!D$66,'Pro Forma Detail'!D$67,'Debt ReFi'!$B$5)</f>
        <v>0.0275</v>
      </c>
      <c r="I91" s="1">
        <f t="shared" si="1"/>
        <v>80</v>
      </c>
      <c r="J91" s="406">
        <f t="shared" si="13"/>
        <v>48061</v>
      </c>
      <c r="K91" s="105">
        <f t="shared" si="9"/>
        <v>11</v>
      </c>
      <c r="L91" s="411">
        <f t="shared" si="10"/>
        <v>489357.75</v>
      </c>
      <c r="M91" s="407">
        <f t="shared" si="2"/>
        <v>257204.69</v>
      </c>
      <c r="N91" s="407">
        <f t="shared" si="3"/>
        <v>232153.0599</v>
      </c>
      <c r="O91" s="407">
        <f t="shared" si="4"/>
        <v>101045948.7</v>
      </c>
      <c r="P91" s="1"/>
    </row>
    <row r="92" ht="12.75" customHeight="1">
      <c r="A92" s="1">
        <v>81.0</v>
      </c>
      <c r="B92" s="408">
        <f t="shared" si="5"/>
        <v>489357.75</v>
      </c>
      <c r="C92" s="408">
        <f t="shared" si="6"/>
        <v>231563.6325</v>
      </c>
      <c r="D92" s="408">
        <f t="shared" si="7"/>
        <v>257794.1175</v>
      </c>
      <c r="E92" s="176">
        <f t="shared" si="8"/>
        <v>100788154.6</v>
      </c>
      <c r="F92" s="408">
        <f t="shared" si="11"/>
        <v>20556365.97</v>
      </c>
      <c r="G92" s="408">
        <f t="shared" si="12"/>
        <v>39637977.75</v>
      </c>
      <c r="H92" s="410">
        <f>IF(K92&gt;='Pro Forma Detail'!D$66,'Pro Forma Detail'!D$67,'Debt ReFi'!$B$5)</f>
        <v>0.0275</v>
      </c>
      <c r="I92" s="1">
        <f t="shared" si="1"/>
        <v>81</v>
      </c>
      <c r="J92" s="406">
        <f t="shared" si="13"/>
        <v>48092</v>
      </c>
      <c r="K92" s="105">
        <f t="shared" si="9"/>
        <v>11</v>
      </c>
      <c r="L92" s="411">
        <f t="shared" si="10"/>
        <v>489357.75</v>
      </c>
      <c r="M92" s="407">
        <f t="shared" si="2"/>
        <v>257794.1175</v>
      </c>
      <c r="N92" s="407">
        <f t="shared" si="3"/>
        <v>231563.6325</v>
      </c>
      <c r="O92" s="407">
        <f t="shared" si="4"/>
        <v>100788154.6</v>
      </c>
      <c r="P92" s="1"/>
    </row>
    <row r="93" ht="12.75" customHeight="1">
      <c r="A93" s="1">
        <v>82.0</v>
      </c>
      <c r="B93" s="408">
        <f t="shared" si="5"/>
        <v>489357.75</v>
      </c>
      <c r="C93" s="408">
        <f t="shared" si="6"/>
        <v>230972.8543</v>
      </c>
      <c r="D93" s="408">
        <f t="shared" si="7"/>
        <v>258384.8956</v>
      </c>
      <c r="E93" s="176">
        <f t="shared" si="8"/>
        <v>100529769.7</v>
      </c>
      <c r="F93" s="408">
        <f t="shared" si="11"/>
        <v>20787338.82</v>
      </c>
      <c r="G93" s="408">
        <f t="shared" si="12"/>
        <v>40127335.5</v>
      </c>
      <c r="H93" s="410">
        <f>IF(K93&gt;='Pro Forma Detail'!D$66,'Pro Forma Detail'!D$67,'Debt ReFi'!$B$5)</f>
        <v>0.0275</v>
      </c>
      <c r="I93" s="1">
        <f t="shared" si="1"/>
        <v>82</v>
      </c>
      <c r="J93" s="406">
        <f t="shared" si="13"/>
        <v>48122</v>
      </c>
      <c r="K93" s="105">
        <f t="shared" si="9"/>
        <v>11</v>
      </c>
      <c r="L93" s="411">
        <f t="shared" si="10"/>
        <v>489357.75</v>
      </c>
      <c r="M93" s="407">
        <f t="shared" si="2"/>
        <v>258384.8956</v>
      </c>
      <c r="N93" s="407">
        <f t="shared" si="3"/>
        <v>230972.8543</v>
      </c>
      <c r="O93" s="407">
        <f t="shared" si="4"/>
        <v>100529769.7</v>
      </c>
      <c r="P93" s="1"/>
    </row>
    <row r="94" ht="12.75" customHeight="1">
      <c r="A94" s="1">
        <v>83.0</v>
      </c>
      <c r="B94" s="408">
        <f t="shared" si="5"/>
        <v>489357.75</v>
      </c>
      <c r="C94" s="408">
        <f t="shared" si="6"/>
        <v>230380.7223</v>
      </c>
      <c r="D94" s="408">
        <f t="shared" si="7"/>
        <v>258977.0277</v>
      </c>
      <c r="E94" s="176">
        <f t="shared" si="8"/>
        <v>100270792.7</v>
      </c>
      <c r="F94" s="408">
        <f t="shared" si="11"/>
        <v>21017719.54</v>
      </c>
      <c r="G94" s="408">
        <f t="shared" si="12"/>
        <v>40616693.25</v>
      </c>
      <c r="H94" s="410">
        <f>IF(K94&gt;='Pro Forma Detail'!D$66,'Pro Forma Detail'!D$67,'Debt ReFi'!$B$5)</f>
        <v>0.0275</v>
      </c>
      <c r="I94" s="1">
        <f t="shared" si="1"/>
        <v>83</v>
      </c>
      <c r="J94" s="406">
        <f t="shared" si="13"/>
        <v>48153</v>
      </c>
      <c r="K94" s="105">
        <f t="shared" si="9"/>
        <v>11</v>
      </c>
      <c r="L94" s="411">
        <f t="shared" si="10"/>
        <v>489357.75</v>
      </c>
      <c r="M94" s="407">
        <f t="shared" si="2"/>
        <v>258977.0277</v>
      </c>
      <c r="N94" s="407">
        <f t="shared" si="3"/>
        <v>230380.7223</v>
      </c>
      <c r="O94" s="407">
        <f t="shared" si="4"/>
        <v>100270792.7</v>
      </c>
      <c r="P94" s="1"/>
    </row>
    <row r="95" ht="12.75" customHeight="1">
      <c r="A95" s="1">
        <v>84.0</v>
      </c>
      <c r="B95" s="408">
        <f t="shared" si="5"/>
        <v>489357.75</v>
      </c>
      <c r="C95" s="408">
        <f t="shared" si="6"/>
        <v>229787.2332</v>
      </c>
      <c r="D95" s="408">
        <f t="shared" si="7"/>
        <v>259570.5167</v>
      </c>
      <c r="E95" s="176">
        <f t="shared" si="8"/>
        <v>100011222.2</v>
      </c>
      <c r="F95" s="408">
        <f t="shared" si="11"/>
        <v>21247506.78</v>
      </c>
      <c r="G95" s="408">
        <f t="shared" si="12"/>
        <v>41106051</v>
      </c>
      <c r="H95" s="410">
        <f>IF(K95&gt;='Pro Forma Detail'!D$66,'Pro Forma Detail'!D$67,'Debt ReFi'!$B$5)</f>
        <v>0.0275</v>
      </c>
      <c r="I95" s="1">
        <f t="shared" si="1"/>
        <v>84</v>
      </c>
      <c r="J95" s="406">
        <f t="shared" si="13"/>
        <v>48183</v>
      </c>
      <c r="K95" s="105">
        <f t="shared" si="9"/>
        <v>11</v>
      </c>
      <c r="L95" s="411">
        <f t="shared" si="10"/>
        <v>489357.75</v>
      </c>
      <c r="M95" s="407">
        <f t="shared" si="2"/>
        <v>259570.5167</v>
      </c>
      <c r="N95" s="407">
        <f t="shared" si="3"/>
        <v>229787.2332</v>
      </c>
      <c r="O95" s="407">
        <f t="shared" si="4"/>
        <v>100011222.2</v>
      </c>
      <c r="P95" s="1"/>
    </row>
    <row r="96" ht="12.75" customHeight="1">
      <c r="A96" s="1">
        <v>85.0</v>
      </c>
      <c r="B96" s="408">
        <f t="shared" si="5"/>
        <v>489357.75</v>
      </c>
      <c r="C96" s="408">
        <f t="shared" si="6"/>
        <v>229192.3841</v>
      </c>
      <c r="D96" s="408">
        <f t="shared" si="7"/>
        <v>260165.3658</v>
      </c>
      <c r="E96" s="176">
        <f t="shared" si="8"/>
        <v>99751056.8</v>
      </c>
      <c r="F96" s="408">
        <f t="shared" si="11"/>
        <v>21476699.16</v>
      </c>
      <c r="G96" s="408">
        <f t="shared" si="12"/>
        <v>41595408.75</v>
      </c>
      <c r="H96" s="410">
        <f>IF(K96&gt;='Pro Forma Detail'!D$66,'Pro Forma Detail'!D$67,'Debt ReFi'!$B$5)</f>
        <v>0.0275</v>
      </c>
      <c r="I96" s="1">
        <f t="shared" si="1"/>
        <v>85</v>
      </c>
      <c r="J96" s="406">
        <f t="shared" si="13"/>
        <v>48214</v>
      </c>
      <c r="K96" s="105">
        <f t="shared" si="9"/>
        <v>12</v>
      </c>
      <c r="L96" s="411">
        <f t="shared" si="10"/>
        <v>489357.75</v>
      </c>
      <c r="M96" s="407">
        <f t="shared" si="2"/>
        <v>260165.3658</v>
      </c>
      <c r="N96" s="407">
        <f t="shared" si="3"/>
        <v>229192.3841</v>
      </c>
      <c r="O96" s="407">
        <f t="shared" si="4"/>
        <v>99751056.8</v>
      </c>
      <c r="P96" s="1"/>
    </row>
    <row r="97" ht="12.75" customHeight="1">
      <c r="A97" s="1">
        <v>86.0</v>
      </c>
      <c r="B97" s="408">
        <f t="shared" si="5"/>
        <v>489357.75</v>
      </c>
      <c r="C97" s="408">
        <f t="shared" si="6"/>
        <v>228596.1718</v>
      </c>
      <c r="D97" s="408">
        <f t="shared" si="7"/>
        <v>260761.5781</v>
      </c>
      <c r="E97" s="176">
        <f t="shared" si="8"/>
        <v>99490295.22</v>
      </c>
      <c r="F97" s="408">
        <f t="shared" si="11"/>
        <v>21705295.33</v>
      </c>
      <c r="G97" s="408">
        <f t="shared" si="12"/>
        <v>42084766.5</v>
      </c>
      <c r="H97" s="410">
        <f>IF(K97&gt;='Pro Forma Detail'!D$66,'Pro Forma Detail'!D$67,'Debt ReFi'!$B$5)</f>
        <v>0.0275</v>
      </c>
      <c r="I97" s="1">
        <f t="shared" si="1"/>
        <v>86</v>
      </c>
      <c r="J97" s="406">
        <f t="shared" si="13"/>
        <v>48245</v>
      </c>
      <c r="K97" s="105">
        <f t="shared" si="9"/>
        <v>12</v>
      </c>
      <c r="L97" s="411">
        <f t="shared" si="10"/>
        <v>489357.75</v>
      </c>
      <c r="M97" s="407">
        <f t="shared" si="2"/>
        <v>260761.5781</v>
      </c>
      <c r="N97" s="407">
        <f t="shared" si="3"/>
        <v>228596.1718</v>
      </c>
      <c r="O97" s="407">
        <f t="shared" si="4"/>
        <v>99490295.22</v>
      </c>
      <c r="P97" s="1"/>
    </row>
    <row r="98" ht="12.75" customHeight="1">
      <c r="A98" s="1">
        <v>87.0</v>
      </c>
      <c r="B98" s="408">
        <f t="shared" si="5"/>
        <v>489357.75</v>
      </c>
      <c r="C98" s="408">
        <f t="shared" si="6"/>
        <v>227998.5932</v>
      </c>
      <c r="D98" s="408">
        <f t="shared" si="7"/>
        <v>261359.1567</v>
      </c>
      <c r="E98" s="176">
        <f t="shared" si="8"/>
        <v>99228936.07</v>
      </c>
      <c r="F98" s="408">
        <f t="shared" si="11"/>
        <v>21933293.93</v>
      </c>
      <c r="G98" s="408">
        <f t="shared" si="12"/>
        <v>42574124.25</v>
      </c>
      <c r="H98" s="410">
        <f>IF(K98&gt;='Pro Forma Detail'!D$66,'Pro Forma Detail'!D$67,'Debt ReFi'!$B$5)</f>
        <v>0.0275</v>
      </c>
      <c r="I98" s="1">
        <f t="shared" si="1"/>
        <v>87</v>
      </c>
      <c r="J98" s="406">
        <f t="shared" si="13"/>
        <v>48274</v>
      </c>
      <c r="K98" s="105">
        <f t="shared" si="9"/>
        <v>12</v>
      </c>
      <c r="L98" s="411">
        <f t="shared" si="10"/>
        <v>489357.75</v>
      </c>
      <c r="M98" s="407">
        <f t="shared" si="2"/>
        <v>261359.1567</v>
      </c>
      <c r="N98" s="407">
        <f t="shared" si="3"/>
        <v>227998.5932</v>
      </c>
      <c r="O98" s="407">
        <f t="shared" si="4"/>
        <v>99228936.07</v>
      </c>
      <c r="P98" s="1"/>
    </row>
    <row r="99" ht="12.75" customHeight="1">
      <c r="A99" s="1">
        <v>88.0</v>
      </c>
      <c r="B99" s="408">
        <f t="shared" si="5"/>
        <v>489357.75</v>
      </c>
      <c r="C99" s="408">
        <f t="shared" si="6"/>
        <v>227399.6452</v>
      </c>
      <c r="D99" s="408">
        <f t="shared" si="7"/>
        <v>261958.1048</v>
      </c>
      <c r="E99" s="176">
        <f t="shared" si="8"/>
        <v>98966977.96</v>
      </c>
      <c r="F99" s="408">
        <f t="shared" si="11"/>
        <v>22160693.57</v>
      </c>
      <c r="G99" s="408">
        <f t="shared" si="12"/>
        <v>43063482</v>
      </c>
      <c r="H99" s="410">
        <f>IF(K99&gt;='Pro Forma Detail'!D$66,'Pro Forma Detail'!D$67,'Debt ReFi'!$B$5)</f>
        <v>0.0275</v>
      </c>
      <c r="I99" s="1">
        <f t="shared" si="1"/>
        <v>88</v>
      </c>
      <c r="J99" s="406">
        <f t="shared" si="13"/>
        <v>48305</v>
      </c>
      <c r="K99" s="105">
        <f t="shared" si="9"/>
        <v>12</v>
      </c>
      <c r="L99" s="411">
        <f t="shared" si="10"/>
        <v>489357.75</v>
      </c>
      <c r="M99" s="407">
        <f t="shared" si="2"/>
        <v>261958.1048</v>
      </c>
      <c r="N99" s="407">
        <f t="shared" si="3"/>
        <v>227399.6452</v>
      </c>
      <c r="O99" s="407">
        <f t="shared" si="4"/>
        <v>98966977.96</v>
      </c>
      <c r="P99" s="1"/>
    </row>
    <row r="100" ht="12.75" customHeight="1">
      <c r="A100" s="1">
        <v>89.0</v>
      </c>
      <c r="B100" s="408">
        <f t="shared" si="5"/>
        <v>489357.75</v>
      </c>
      <c r="C100" s="408">
        <f t="shared" si="6"/>
        <v>226799.3245</v>
      </c>
      <c r="D100" s="408">
        <f t="shared" si="7"/>
        <v>262558.4255</v>
      </c>
      <c r="E100" s="176">
        <f t="shared" si="8"/>
        <v>98704419.54</v>
      </c>
      <c r="F100" s="408">
        <f t="shared" si="11"/>
        <v>22387492.9</v>
      </c>
      <c r="G100" s="408">
        <f t="shared" si="12"/>
        <v>43552839.75</v>
      </c>
      <c r="H100" s="410">
        <f>IF(K100&gt;='Pro Forma Detail'!D$66,'Pro Forma Detail'!D$67,'Debt ReFi'!$B$5)</f>
        <v>0.0275</v>
      </c>
      <c r="I100" s="1">
        <f t="shared" si="1"/>
        <v>89</v>
      </c>
      <c r="J100" s="406">
        <f t="shared" si="13"/>
        <v>48335</v>
      </c>
      <c r="K100" s="105">
        <f t="shared" si="9"/>
        <v>12</v>
      </c>
      <c r="L100" s="411">
        <f t="shared" si="10"/>
        <v>489357.75</v>
      </c>
      <c r="M100" s="407">
        <f t="shared" si="2"/>
        <v>262558.4255</v>
      </c>
      <c r="N100" s="407">
        <f t="shared" si="3"/>
        <v>226799.3245</v>
      </c>
      <c r="O100" s="407">
        <f t="shared" si="4"/>
        <v>98704419.54</v>
      </c>
      <c r="P100" s="1"/>
    </row>
    <row r="101" ht="12.75" customHeight="1">
      <c r="A101" s="1">
        <v>90.0</v>
      </c>
      <c r="B101" s="408">
        <f t="shared" si="5"/>
        <v>489357.75</v>
      </c>
      <c r="C101" s="408">
        <f t="shared" si="6"/>
        <v>226197.6281</v>
      </c>
      <c r="D101" s="408">
        <f t="shared" si="7"/>
        <v>263160.1219</v>
      </c>
      <c r="E101" s="176">
        <f t="shared" si="8"/>
        <v>98441259.41</v>
      </c>
      <c r="F101" s="408">
        <f t="shared" si="11"/>
        <v>22613690.52</v>
      </c>
      <c r="G101" s="408">
        <f t="shared" si="12"/>
        <v>44042197.5</v>
      </c>
      <c r="H101" s="410">
        <f>IF(K101&gt;='Pro Forma Detail'!D$66,'Pro Forma Detail'!D$67,'Debt ReFi'!$B$5)</f>
        <v>0.0275</v>
      </c>
      <c r="I101" s="1">
        <f t="shared" si="1"/>
        <v>90</v>
      </c>
      <c r="J101" s="406">
        <f t="shared" si="13"/>
        <v>48366</v>
      </c>
      <c r="K101" s="105">
        <f t="shared" si="9"/>
        <v>12</v>
      </c>
      <c r="L101" s="411">
        <f t="shared" si="10"/>
        <v>489357.75</v>
      </c>
      <c r="M101" s="407">
        <f t="shared" si="2"/>
        <v>263160.1219</v>
      </c>
      <c r="N101" s="407">
        <f t="shared" si="3"/>
        <v>226197.6281</v>
      </c>
      <c r="O101" s="407">
        <f t="shared" si="4"/>
        <v>98441259.41</v>
      </c>
      <c r="P101" s="1"/>
    </row>
    <row r="102" ht="12.75" customHeight="1">
      <c r="A102" s="1">
        <v>91.0</v>
      </c>
      <c r="B102" s="408">
        <f t="shared" si="5"/>
        <v>489357.75</v>
      </c>
      <c r="C102" s="408">
        <f t="shared" si="6"/>
        <v>225594.5528</v>
      </c>
      <c r="D102" s="408">
        <f t="shared" si="7"/>
        <v>263763.1971</v>
      </c>
      <c r="E102" s="176">
        <f t="shared" si="8"/>
        <v>98177496.22</v>
      </c>
      <c r="F102" s="408">
        <f t="shared" si="11"/>
        <v>22839285.08</v>
      </c>
      <c r="G102" s="408">
        <f t="shared" si="12"/>
        <v>44531555.25</v>
      </c>
      <c r="H102" s="410">
        <f>IF(K102&gt;='Pro Forma Detail'!D$66,'Pro Forma Detail'!D$67,'Debt ReFi'!$B$5)</f>
        <v>0.0275</v>
      </c>
      <c r="I102" s="1">
        <f t="shared" si="1"/>
        <v>91</v>
      </c>
      <c r="J102" s="406">
        <f t="shared" si="13"/>
        <v>48396</v>
      </c>
      <c r="K102" s="105">
        <f t="shared" si="9"/>
        <v>12</v>
      </c>
      <c r="L102" s="411">
        <f t="shared" si="10"/>
        <v>489357.75</v>
      </c>
      <c r="M102" s="407">
        <f t="shared" si="2"/>
        <v>263763.1971</v>
      </c>
      <c r="N102" s="407">
        <f t="shared" si="3"/>
        <v>225594.5528</v>
      </c>
      <c r="O102" s="407">
        <f t="shared" si="4"/>
        <v>98177496.22</v>
      </c>
      <c r="P102" s="1"/>
    </row>
    <row r="103" ht="12.75" customHeight="1">
      <c r="A103" s="1">
        <v>92.0</v>
      </c>
      <c r="B103" s="408">
        <f t="shared" si="5"/>
        <v>489357.75</v>
      </c>
      <c r="C103" s="408">
        <f t="shared" si="6"/>
        <v>224990.0955</v>
      </c>
      <c r="D103" s="408">
        <f t="shared" si="7"/>
        <v>264367.6545</v>
      </c>
      <c r="E103" s="176">
        <f t="shared" si="8"/>
        <v>97913128.56</v>
      </c>
      <c r="F103" s="408">
        <f t="shared" si="11"/>
        <v>23064275.17</v>
      </c>
      <c r="G103" s="408">
        <f t="shared" si="12"/>
        <v>45020913</v>
      </c>
      <c r="H103" s="410">
        <f>IF(K103&gt;='Pro Forma Detail'!D$66,'Pro Forma Detail'!D$67,'Debt ReFi'!$B$5)</f>
        <v>0.0275</v>
      </c>
      <c r="I103" s="1">
        <f t="shared" si="1"/>
        <v>92</v>
      </c>
      <c r="J103" s="406">
        <f t="shared" si="13"/>
        <v>48427</v>
      </c>
      <c r="K103" s="105">
        <f t="shared" si="9"/>
        <v>12</v>
      </c>
      <c r="L103" s="411">
        <f t="shared" si="10"/>
        <v>489357.75</v>
      </c>
      <c r="M103" s="407">
        <f t="shared" si="2"/>
        <v>264367.6545</v>
      </c>
      <c r="N103" s="407">
        <f t="shared" si="3"/>
        <v>224990.0955</v>
      </c>
      <c r="O103" s="407">
        <f t="shared" si="4"/>
        <v>97913128.56</v>
      </c>
      <c r="P103" s="1"/>
    </row>
    <row r="104" ht="12.75" customHeight="1">
      <c r="A104" s="1">
        <v>93.0</v>
      </c>
      <c r="B104" s="408">
        <f t="shared" si="5"/>
        <v>489357.75</v>
      </c>
      <c r="C104" s="408">
        <f t="shared" si="6"/>
        <v>224384.253</v>
      </c>
      <c r="D104" s="408">
        <f t="shared" si="7"/>
        <v>264973.497</v>
      </c>
      <c r="E104" s="176">
        <f t="shared" si="8"/>
        <v>97648155.07</v>
      </c>
      <c r="F104" s="408">
        <f t="shared" si="11"/>
        <v>23288659.43</v>
      </c>
      <c r="G104" s="408">
        <f t="shared" si="12"/>
        <v>45510270.75</v>
      </c>
      <c r="H104" s="410">
        <f>IF(K104&gt;='Pro Forma Detail'!D$66,'Pro Forma Detail'!D$67,'Debt ReFi'!$B$5)</f>
        <v>0.0275</v>
      </c>
      <c r="I104" s="1">
        <f t="shared" si="1"/>
        <v>93</v>
      </c>
      <c r="J104" s="406">
        <f t="shared" si="13"/>
        <v>48458</v>
      </c>
      <c r="K104" s="105">
        <f t="shared" si="9"/>
        <v>12</v>
      </c>
      <c r="L104" s="411">
        <f t="shared" si="10"/>
        <v>489357.75</v>
      </c>
      <c r="M104" s="407">
        <f t="shared" si="2"/>
        <v>264973.497</v>
      </c>
      <c r="N104" s="407">
        <f t="shared" si="3"/>
        <v>224384.253</v>
      </c>
      <c r="O104" s="407">
        <f t="shared" si="4"/>
        <v>97648155.07</v>
      </c>
      <c r="P104" s="1"/>
    </row>
    <row r="105" ht="12.75" customHeight="1">
      <c r="A105" s="1">
        <v>94.0</v>
      </c>
      <c r="B105" s="408">
        <f t="shared" si="5"/>
        <v>489357.75</v>
      </c>
      <c r="C105" s="408">
        <f t="shared" si="6"/>
        <v>223777.022</v>
      </c>
      <c r="D105" s="408">
        <f t="shared" si="7"/>
        <v>265580.7279</v>
      </c>
      <c r="E105" s="176">
        <f t="shared" si="8"/>
        <v>97382574.34</v>
      </c>
      <c r="F105" s="408">
        <f t="shared" si="11"/>
        <v>23512436.45</v>
      </c>
      <c r="G105" s="408">
        <f t="shared" si="12"/>
        <v>45999628.5</v>
      </c>
      <c r="H105" s="410">
        <f>IF(K105&gt;='Pro Forma Detail'!D$66,'Pro Forma Detail'!D$67,'Debt ReFi'!$B$5)</f>
        <v>0.0275</v>
      </c>
      <c r="I105" s="1">
        <f t="shared" si="1"/>
        <v>94</v>
      </c>
      <c r="J105" s="406">
        <f t="shared" si="13"/>
        <v>48488</v>
      </c>
      <c r="K105" s="105">
        <f t="shared" si="9"/>
        <v>12</v>
      </c>
      <c r="L105" s="411">
        <f t="shared" si="10"/>
        <v>489357.75</v>
      </c>
      <c r="M105" s="407">
        <f t="shared" si="2"/>
        <v>265580.7279</v>
      </c>
      <c r="N105" s="407">
        <f t="shared" si="3"/>
        <v>223777.022</v>
      </c>
      <c r="O105" s="407">
        <f t="shared" si="4"/>
        <v>97382574.34</v>
      </c>
      <c r="P105" s="1"/>
    </row>
    <row r="106" ht="12.75" customHeight="1">
      <c r="A106" s="1">
        <v>95.0</v>
      </c>
      <c r="B106" s="408">
        <f t="shared" si="5"/>
        <v>489357.75</v>
      </c>
      <c r="C106" s="408">
        <f t="shared" si="6"/>
        <v>223168.3995</v>
      </c>
      <c r="D106" s="408">
        <f t="shared" si="7"/>
        <v>266189.3504</v>
      </c>
      <c r="E106" s="176">
        <f t="shared" si="8"/>
        <v>97116384.99</v>
      </c>
      <c r="F106" s="408">
        <f t="shared" si="11"/>
        <v>23735604.85</v>
      </c>
      <c r="G106" s="408">
        <f t="shared" si="12"/>
        <v>46488986.25</v>
      </c>
      <c r="H106" s="410">
        <f>IF(K106&gt;='Pro Forma Detail'!D$66,'Pro Forma Detail'!D$67,'Debt ReFi'!$B$5)</f>
        <v>0.0275</v>
      </c>
      <c r="I106" s="1">
        <f t="shared" si="1"/>
        <v>95</v>
      </c>
      <c r="J106" s="406">
        <f t="shared" si="13"/>
        <v>48519</v>
      </c>
      <c r="K106" s="105">
        <f t="shared" si="9"/>
        <v>12</v>
      </c>
      <c r="L106" s="411">
        <f t="shared" si="10"/>
        <v>489357.75</v>
      </c>
      <c r="M106" s="407">
        <f t="shared" si="2"/>
        <v>266189.3504</v>
      </c>
      <c r="N106" s="407">
        <f t="shared" si="3"/>
        <v>223168.3995</v>
      </c>
      <c r="O106" s="407">
        <f t="shared" si="4"/>
        <v>97116384.99</v>
      </c>
      <c r="P106" s="1"/>
    </row>
    <row r="107" ht="12.75" customHeight="1">
      <c r="A107" s="1">
        <v>96.0</v>
      </c>
      <c r="B107" s="408">
        <f t="shared" si="5"/>
        <v>489357.75</v>
      </c>
      <c r="C107" s="408">
        <f t="shared" si="6"/>
        <v>222558.3823</v>
      </c>
      <c r="D107" s="408">
        <f t="shared" si="7"/>
        <v>266799.3677</v>
      </c>
      <c r="E107" s="176">
        <f t="shared" si="8"/>
        <v>96849585.62</v>
      </c>
      <c r="F107" s="408">
        <f t="shared" si="11"/>
        <v>23958163.23</v>
      </c>
      <c r="G107" s="408">
        <f t="shared" si="12"/>
        <v>46978344</v>
      </c>
      <c r="H107" s="410">
        <f>IF(K107&gt;='Pro Forma Detail'!D$66,'Pro Forma Detail'!D$67,'Debt ReFi'!$B$5)</f>
        <v>0.0275</v>
      </c>
      <c r="I107" s="1">
        <f t="shared" si="1"/>
        <v>96</v>
      </c>
      <c r="J107" s="406">
        <f t="shared" si="13"/>
        <v>48549</v>
      </c>
      <c r="K107" s="105">
        <f t="shared" si="9"/>
        <v>12</v>
      </c>
      <c r="L107" s="411">
        <f t="shared" si="10"/>
        <v>489357.75</v>
      </c>
      <c r="M107" s="407">
        <f t="shared" si="2"/>
        <v>266799.3677</v>
      </c>
      <c r="N107" s="407">
        <f t="shared" si="3"/>
        <v>222558.3823</v>
      </c>
      <c r="O107" s="407">
        <f t="shared" si="4"/>
        <v>96849585.62</v>
      </c>
      <c r="P107" s="1"/>
    </row>
    <row r="108" ht="12.75" customHeight="1">
      <c r="A108" s="1">
        <v>97.0</v>
      </c>
      <c r="B108" s="408">
        <f t="shared" si="5"/>
        <v>489357.75</v>
      </c>
      <c r="C108" s="408">
        <f t="shared" si="6"/>
        <v>221946.967</v>
      </c>
      <c r="D108" s="408">
        <f t="shared" si="7"/>
        <v>267410.7829</v>
      </c>
      <c r="E108" s="176">
        <f t="shared" si="8"/>
        <v>96582174.84</v>
      </c>
      <c r="F108" s="408">
        <f t="shared" si="11"/>
        <v>24180110.2</v>
      </c>
      <c r="G108" s="408">
        <f t="shared" si="12"/>
        <v>47467701.75</v>
      </c>
      <c r="H108" s="410">
        <f>IF(K108&gt;='Pro Forma Detail'!D$66,'Pro Forma Detail'!D$67,'Debt ReFi'!$B$5)</f>
        <v>0.0275</v>
      </c>
      <c r="I108" s="1">
        <f t="shared" si="1"/>
        <v>97</v>
      </c>
      <c r="J108" s="406">
        <f t="shared" si="13"/>
        <v>48580</v>
      </c>
      <c r="K108" s="105">
        <f t="shared" si="9"/>
        <v>13</v>
      </c>
      <c r="L108" s="411">
        <f t="shared" si="10"/>
        <v>489357.75</v>
      </c>
      <c r="M108" s="407">
        <f t="shared" si="2"/>
        <v>267410.7829</v>
      </c>
      <c r="N108" s="407">
        <f t="shared" si="3"/>
        <v>221946.967</v>
      </c>
      <c r="O108" s="407">
        <f t="shared" si="4"/>
        <v>96582174.84</v>
      </c>
      <c r="P108" s="1"/>
    </row>
    <row r="109" ht="12.75" customHeight="1">
      <c r="A109" s="1">
        <v>98.0</v>
      </c>
      <c r="B109" s="408">
        <f t="shared" si="5"/>
        <v>489357.75</v>
      </c>
      <c r="C109" s="408">
        <f t="shared" si="6"/>
        <v>221334.1507</v>
      </c>
      <c r="D109" s="408">
        <f t="shared" si="7"/>
        <v>268023.5993</v>
      </c>
      <c r="E109" s="176">
        <f t="shared" si="8"/>
        <v>96314151.24</v>
      </c>
      <c r="F109" s="408">
        <f t="shared" si="11"/>
        <v>24401444.35</v>
      </c>
      <c r="G109" s="408">
        <f t="shared" si="12"/>
        <v>47957059.5</v>
      </c>
      <c r="H109" s="410">
        <f>IF(K109&gt;='Pro Forma Detail'!D$66,'Pro Forma Detail'!D$67,'Debt ReFi'!$B$5)</f>
        <v>0.0275</v>
      </c>
      <c r="I109" s="1">
        <f t="shared" si="1"/>
        <v>98</v>
      </c>
      <c r="J109" s="406">
        <f t="shared" si="13"/>
        <v>48611</v>
      </c>
      <c r="K109" s="105">
        <f t="shared" si="9"/>
        <v>13</v>
      </c>
      <c r="L109" s="411">
        <f t="shared" si="10"/>
        <v>489357.75</v>
      </c>
      <c r="M109" s="407">
        <f t="shared" si="2"/>
        <v>268023.5993</v>
      </c>
      <c r="N109" s="407">
        <f t="shared" si="3"/>
        <v>221334.1507</v>
      </c>
      <c r="O109" s="407">
        <f t="shared" si="4"/>
        <v>96314151.24</v>
      </c>
      <c r="P109" s="1"/>
    </row>
    <row r="110" ht="12.75" customHeight="1">
      <c r="A110" s="1">
        <v>99.0</v>
      </c>
      <c r="B110" s="408">
        <f t="shared" si="5"/>
        <v>489357.75</v>
      </c>
      <c r="C110" s="408">
        <f t="shared" si="6"/>
        <v>220719.9299</v>
      </c>
      <c r="D110" s="408">
        <f t="shared" si="7"/>
        <v>268637.82</v>
      </c>
      <c r="E110" s="176">
        <f t="shared" si="8"/>
        <v>96045513.42</v>
      </c>
      <c r="F110" s="408">
        <f t="shared" si="11"/>
        <v>24622164.28</v>
      </c>
      <c r="G110" s="408">
        <f t="shared" si="12"/>
        <v>48446417.25</v>
      </c>
      <c r="H110" s="410">
        <f>IF(K110&gt;='Pro Forma Detail'!D$66,'Pro Forma Detail'!D$67,'Debt ReFi'!$B$5)</f>
        <v>0.0275</v>
      </c>
      <c r="I110" s="1">
        <f t="shared" si="1"/>
        <v>99</v>
      </c>
      <c r="J110" s="406">
        <f t="shared" si="13"/>
        <v>48639</v>
      </c>
      <c r="K110" s="105">
        <f t="shared" si="9"/>
        <v>13</v>
      </c>
      <c r="L110" s="411">
        <f t="shared" si="10"/>
        <v>489357.75</v>
      </c>
      <c r="M110" s="407">
        <f t="shared" si="2"/>
        <v>268637.82</v>
      </c>
      <c r="N110" s="407">
        <f t="shared" si="3"/>
        <v>220719.9299</v>
      </c>
      <c r="O110" s="407">
        <f t="shared" si="4"/>
        <v>96045513.42</v>
      </c>
      <c r="P110" s="1"/>
    </row>
    <row r="111" ht="12.75" customHeight="1">
      <c r="A111" s="1">
        <v>100.0</v>
      </c>
      <c r="B111" s="408">
        <f t="shared" si="5"/>
        <v>489357.75</v>
      </c>
      <c r="C111" s="408">
        <f t="shared" si="6"/>
        <v>220104.3016</v>
      </c>
      <c r="D111" s="408">
        <f t="shared" si="7"/>
        <v>269253.4484</v>
      </c>
      <c r="E111" s="176">
        <f t="shared" si="8"/>
        <v>95776259.97</v>
      </c>
      <c r="F111" s="408">
        <f t="shared" si="11"/>
        <v>24842268.58</v>
      </c>
      <c r="G111" s="408">
        <f t="shared" si="12"/>
        <v>48935775</v>
      </c>
      <c r="H111" s="410">
        <f>IF(K111&gt;='Pro Forma Detail'!D$66,'Pro Forma Detail'!D$67,'Debt ReFi'!$B$5)</f>
        <v>0.0275</v>
      </c>
      <c r="I111" s="1">
        <f t="shared" si="1"/>
        <v>100</v>
      </c>
      <c r="J111" s="406">
        <f t="shared" si="13"/>
        <v>48670</v>
      </c>
      <c r="K111" s="105">
        <f t="shared" si="9"/>
        <v>13</v>
      </c>
      <c r="L111" s="411">
        <f t="shared" si="10"/>
        <v>489357.75</v>
      </c>
      <c r="M111" s="407">
        <f t="shared" si="2"/>
        <v>269253.4484</v>
      </c>
      <c r="N111" s="407">
        <f t="shared" si="3"/>
        <v>220104.3016</v>
      </c>
      <c r="O111" s="407">
        <f t="shared" si="4"/>
        <v>95776259.97</v>
      </c>
      <c r="P111" s="1"/>
    </row>
    <row r="112" ht="12.75" customHeight="1">
      <c r="A112" s="1">
        <v>101.0</v>
      </c>
      <c r="B112" s="408">
        <f t="shared" si="5"/>
        <v>489357.75</v>
      </c>
      <c r="C112" s="408">
        <f t="shared" si="6"/>
        <v>219487.2624</v>
      </c>
      <c r="D112" s="408">
        <f t="shared" si="7"/>
        <v>269870.4875</v>
      </c>
      <c r="E112" s="176">
        <f t="shared" si="8"/>
        <v>95506389.48</v>
      </c>
      <c r="F112" s="408">
        <f t="shared" si="11"/>
        <v>25061755.84</v>
      </c>
      <c r="G112" s="408">
        <f t="shared" si="12"/>
        <v>49425132.75</v>
      </c>
      <c r="H112" s="410">
        <f>IF(K112&gt;='Pro Forma Detail'!D$66,'Pro Forma Detail'!D$67,'Debt ReFi'!$B$5)</f>
        <v>0.0275</v>
      </c>
      <c r="I112" s="1">
        <f t="shared" si="1"/>
        <v>101</v>
      </c>
      <c r="J112" s="406">
        <f t="shared" si="13"/>
        <v>48700</v>
      </c>
      <c r="K112" s="105">
        <f t="shared" si="9"/>
        <v>13</v>
      </c>
      <c r="L112" s="411">
        <f t="shared" si="10"/>
        <v>489357.75</v>
      </c>
      <c r="M112" s="407">
        <f t="shared" si="2"/>
        <v>269870.4875</v>
      </c>
      <c r="N112" s="407">
        <f t="shared" si="3"/>
        <v>219487.2624</v>
      </c>
      <c r="O112" s="407">
        <f t="shared" si="4"/>
        <v>95506389.48</v>
      </c>
      <c r="P112" s="1"/>
    </row>
    <row r="113" ht="12.75" customHeight="1">
      <c r="A113" s="1">
        <v>102.0</v>
      </c>
      <c r="B113" s="408">
        <f t="shared" si="5"/>
        <v>489357.75</v>
      </c>
      <c r="C113" s="408">
        <f t="shared" si="6"/>
        <v>218868.8092</v>
      </c>
      <c r="D113" s="408">
        <f t="shared" si="7"/>
        <v>270488.9407</v>
      </c>
      <c r="E113" s="176">
        <f t="shared" si="8"/>
        <v>95235900.54</v>
      </c>
      <c r="F113" s="408">
        <f t="shared" si="11"/>
        <v>25280624.65</v>
      </c>
      <c r="G113" s="408">
        <f t="shared" si="12"/>
        <v>49914490.5</v>
      </c>
      <c r="H113" s="410">
        <f>IF(K113&gt;='Pro Forma Detail'!D$66,'Pro Forma Detail'!D$67,'Debt ReFi'!$B$5)</f>
        <v>0.0275</v>
      </c>
      <c r="I113" s="1">
        <f t="shared" si="1"/>
        <v>102</v>
      </c>
      <c r="J113" s="406">
        <f t="shared" si="13"/>
        <v>48731</v>
      </c>
      <c r="K113" s="105">
        <f t="shared" si="9"/>
        <v>13</v>
      </c>
      <c r="L113" s="411">
        <f t="shared" si="10"/>
        <v>489357.75</v>
      </c>
      <c r="M113" s="407">
        <f t="shared" si="2"/>
        <v>270488.9407</v>
      </c>
      <c r="N113" s="407">
        <f t="shared" si="3"/>
        <v>218868.8092</v>
      </c>
      <c r="O113" s="407">
        <f t="shared" si="4"/>
        <v>95235900.54</v>
      </c>
      <c r="P113" s="1"/>
    </row>
    <row r="114" ht="12.75" customHeight="1">
      <c r="A114" s="1">
        <v>103.0</v>
      </c>
      <c r="B114" s="408">
        <f t="shared" si="5"/>
        <v>489357.75</v>
      </c>
      <c r="C114" s="408">
        <f t="shared" si="6"/>
        <v>218248.9387</v>
      </c>
      <c r="D114" s="408">
        <f t="shared" si="7"/>
        <v>271108.8112</v>
      </c>
      <c r="E114" s="176">
        <f t="shared" si="8"/>
        <v>94964791.73</v>
      </c>
      <c r="F114" s="408">
        <f t="shared" si="11"/>
        <v>25498873.59</v>
      </c>
      <c r="G114" s="408">
        <f t="shared" si="12"/>
        <v>50403848.25</v>
      </c>
      <c r="H114" s="410">
        <f>IF(K114&gt;='Pro Forma Detail'!D$66,'Pro Forma Detail'!D$67,'Debt ReFi'!$B$5)</f>
        <v>0.0275</v>
      </c>
      <c r="I114" s="1">
        <f t="shared" si="1"/>
        <v>103</v>
      </c>
      <c r="J114" s="406">
        <f t="shared" si="13"/>
        <v>48761</v>
      </c>
      <c r="K114" s="105">
        <f t="shared" si="9"/>
        <v>13</v>
      </c>
      <c r="L114" s="411">
        <f t="shared" si="10"/>
        <v>489357.75</v>
      </c>
      <c r="M114" s="407">
        <f t="shared" si="2"/>
        <v>271108.8112</v>
      </c>
      <c r="N114" s="407">
        <f t="shared" si="3"/>
        <v>218248.9387</v>
      </c>
      <c r="O114" s="407">
        <f t="shared" si="4"/>
        <v>94964791.73</v>
      </c>
      <c r="P114" s="1"/>
    </row>
    <row r="115" ht="12.75" customHeight="1">
      <c r="A115" s="1">
        <v>104.0</v>
      </c>
      <c r="B115" s="408">
        <f t="shared" si="5"/>
        <v>489357.75</v>
      </c>
      <c r="C115" s="408">
        <f t="shared" si="6"/>
        <v>217627.6477</v>
      </c>
      <c r="D115" s="408">
        <f t="shared" si="7"/>
        <v>271730.1022</v>
      </c>
      <c r="E115" s="176">
        <f t="shared" si="8"/>
        <v>94693061.63</v>
      </c>
      <c r="F115" s="408">
        <f t="shared" si="11"/>
        <v>25716501.24</v>
      </c>
      <c r="G115" s="408">
        <f t="shared" si="12"/>
        <v>50893206</v>
      </c>
      <c r="H115" s="410">
        <f>IF(K115&gt;='Pro Forma Detail'!D$66,'Pro Forma Detail'!D$67,'Debt ReFi'!$B$5)</f>
        <v>0.0275</v>
      </c>
      <c r="I115" s="1">
        <f t="shared" si="1"/>
        <v>104</v>
      </c>
      <c r="J115" s="406">
        <f t="shared" si="13"/>
        <v>48792</v>
      </c>
      <c r="K115" s="105">
        <f t="shared" si="9"/>
        <v>13</v>
      </c>
      <c r="L115" s="411">
        <f t="shared" si="10"/>
        <v>489357.75</v>
      </c>
      <c r="M115" s="407">
        <f t="shared" si="2"/>
        <v>271730.1022</v>
      </c>
      <c r="N115" s="407">
        <f t="shared" si="3"/>
        <v>217627.6477</v>
      </c>
      <c r="O115" s="407">
        <f t="shared" si="4"/>
        <v>94693061.63</v>
      </c>
      <c r="P115" s="1"/>
    </row>
    <row r="116" ht="12.75" customHeight="1">
      <c r="A116" s="1">
        <v>105.0</v>
      </c>
      <c r="B116" s="408">
        <f t="shared" si="5"/>
        <v>489357.75</v>
      </c>
      <c r="C116" s="408">
        <f t="shared" si="6"/>
        <v>217004.9329</v>
      </c>
      <c r="D116" s="408">
        <f t="shared" si="7"/>
        <v>272352.8171</v>
      </c>
      <c r="E116" s="176">
        <f t="shared" si="8"/>
        <v>94420708.81</v>
      </c>
      <c r="F116" s="408">
        <f t="shared" si="11"/>
        <v>25933506.17</v>
      </c>
      <c r="G116" s="408">
        <f t="shared" si="12"/>
        <v>51382563.75</v>
      </c>
      <c r="H116" s="410">
        <f>IF(K116&gt;='Pro Forma Detail'!D$66,'Pro Forma Detail'!D$67,'Debt ReFi'!$B$5)</f>
        <v>0.0275</v>
      </c>
      <c r="I116" s="1">
        <f t="shared" si="1"/>
        <v>105</v>
      </c>
      <c r="J116" s="406">
        <f t="shared" si="13"/>
        <v>48823</v>
      </c>
      <c r="K116" s="105">
        <f t="shared" si="9"/>
        <v>13</v>
      </c>
      <c r="L116" s="411">
        <f t="shared" si="10"/>
        <v>489357.75</v>
      </c>
      <c r="M116" s="407">
        <f t="shared" si="2"/>
        <v>272352.8171</v>
      </c>
      <c r="N116" s="407">
        <f t="shared" si="3"/>
        <v>217004.9329</v>
      </c>
      <c r="O116" s="407">
        <f t="shared" si="4"/>
        <v>94420708.81</v>
      </c>
      <c r="P116" s="1"/>
    </row>
    <row r="117" ht="12.75" customHeight="1">
      <c r="A117" s="1">
        <v>106.0</v>
      </c>
      <c r="B117" s="408">
        <f t="shared" si="5"/>
        <v>489357.75</v>
      </c>
      <c r="C117" s="408">
        <f t="shared" si="6"/>
        <v>216380.791</v>
      </c>
      <c r="D117" s="408">
        <f t="shared" si="7"/>
        <v>272976.9589</v>
      </c>
      <c r="E117" s="176">
        <f t="shared" si="8"/>
        <v>94147731.85</v>
      </c>
      <c r="F117" s="408">
        <f t="shared" si="11"/>
        <v>26149886.96</v>
      </c>
      <c r="G117" s="408">
        <f t="shared" si="12"/>
        <v>51871921.5</v>
      </c>
      <c r="H117" s="410">
        <f>IF(K117&gt;='Pro Forma Detail'!D$66,'Pro Forma Detail'!D$67,'Debt ReFi'!$B$5)</f>
        <v>0.0275</v>
      </c>
      <c r="I117" s="1">
        <f t="shared" si="1"/>
        <v>106</v>
      </c>
      <c r="J117" s="406">
        <f t="shared" si="13"/>
        <v>48853</v>
      </c>
      <c r="K117" s="105">
        <f t="shared" si="9"/>
        <v>13</v>
      </c>
      <c r="L117" s="411">
        <f t="shared" si="10"/>
        <v>489357.75</v>
      </c>
      <c r="M117" s="407">
        <f t="shared" si="2"/>
        <v>272976.9589</v>
      </c>
      <c r="N117" s="407">
        <f t="shared" si="3"/>
        <v>216380.791</v>
      </c>
      <c r="O117" s="407">
        <f t="shared" si="4"/>
        <v>94147731.85</v>
      </c>
      <c r="P117" s="1"/>
    </row>
    <row r="118" ht="12.75" customHeight="1">
      <c r="A118" s="1">
        <v>107.0</v>
      </c>
      <c r="B118" s="408">
        <f t="shared" si="5"/>
        <v>489357.75</v>
      </c>
      <c r="C118" s="408">
        <f t="shared" si="6"/>
        <v>215755.2188</v>
      </c>
      <c r="D118" s="408">
        <f t="shared" si="7"/>
        <v>273602.5311</v>
      </c>
      <c r="E118" s="176">
        <f t="shared" si="8"/>
        <v>93874129.32</v>
      </c>
      <c r="F118" s="408">
        <f t="shared" si="11"/>
        <v>26365642.18</v>
      </c>
      <c r="G118" s="408">
        <f t="shared" si="12"/>
        <v>52361279.25</v>
      </c>
      <c r="H118" s="410">
        <f>IF(K118&gt;='Pro Forma Detail'!D$66,'Pro Forma Detail'!D$67,'Debt ReFi'!$B$5)</f>
        <v>0.0275</v>
      </c>
      <c r="I118" s="1">
        <f t="shared" si="1"/>
        <v>107</v>
      </c>
      <c r="J118" s="406">
        <f t="shared" si="13"/>
        <v>48884</v>
      </c>
      <c r="K118" s="105">
        <f t="shared" si="9"/>
        <v>13</v>
      </c>
      <c r="L118" s="411">
        <f t="shared" si="10"/>
        <v>489357.75</v>
      </c>
      <c r="M118" s="407">
        <f t="shared" si="2"/>
        <v>273602.5311</v>
      </c>
      <c r="N118" s="407">
        <f t="shared" si="3"/>
        <v>215755.2188</v>
      </c>
      <c r="O118" s="407">
        <f t="shared" si="4"/>
        <v>93874129.32</v>
      </c>
      <c r="P118" s="1"/>
    </row>
    <row r="119" ht="12.75" customHeight="1">
      <c r="A119" s="1">
        <v>108.0</v>
      </c>
      <c r="B119" s="408">
        <f t="shared" si="5"/>
        <v>489357.75</v>
      </c>
      <c r="C119" s="408">
        <f t="shared" si="6"/>
        <v>215128.213</v>
      </c>
      <c r="D119" s="408">
        <f t="shared" si="7"/>
        <v>274229.5369</v>
      </c>
      <c r="E119" s="176">
        <f t="shared" si="8"/>
        <v>93599899.78</v>
      </c>
      <c r="F119" s="408">
        <f t="shared" si="11"/>
        <v>26580770.39</v>
      </c>
      <c r="G119" s="408">
        <f t="shared" si="12"/>
        <v>52850637</v>
      </c>
      <c r="H119" s="410">
        <f>IF(K119&gt;='Pro Forma Detail'!D$66,'Pro Forma Detail'!D$67,'Debt ReFi'!$B$5)</f>
        <v>0.0275</v>
      </c>
      <c r="I119" s="1">
        <f t="shared" si="1"/>
        <v>108</v>
      </c>
      <c r="J119" s="406">
        <f t="shared" si="13"/>
        <v>48914</v>
      </c>
      <c r="K119" s="105">
        <f t="shared" si="9"/>
        <v>13</v>
      </c>
      <c r="L119" s="411">
        <f t="shared" si="10"/>
        <v>489357.75</v>
      </c>
      <c r="M119" s="407">
        <f t="shared" si="2"/>
        <v>274229.5369</v>
      </c>
      <c r="N119" s="407">
        <f t="shared" si="3"/>
        <v>215128.213</v>
      </c>
      <c r="O119" s="407">
        <f t="shared" si="4"/>
        <v>93599899.78</v>
      </c>
      <c r="P119" s="1"/>
    </row>
    <row r="120" ht="12.75" customHeight="1">
      <c r="A120" s="1">
        <v>109.0</v>
      </c>
      <c r="B120" s="408">
        <f t="shared" si="5"/>
        <v>489357.75</v>
      </c>
      <c r="C120" s="408">
        <f t="shared" si="6"/>
        <v>214499.7703</v>
      </c>
      <c r="D120" s="408">
        <f t="shared" si="7"/>
        <v>274857.9796</v>
      </c>
      <c r="E120" s="176">
        <f t="shared" si="8"/>
        <v>93325041.8</v>
      </c>
      <c r="F120" s="408">
        <f t="shared" si="11"/>
        <v>26795270.16</v>
      </c>
      <c r="G120" s="408">
        <f t="shared" si="12"/>
        <v>53339994.75</v>
      </c>
      <c r="H120" s="410">
        <f>IF(K120&gt;='Pro Forma Detail'!D$66,'Pro Forma Detail'!D$67,'Debt ReFi'!$B$5)</f>
        <v>0.0275</v>
      </c>
      <c r="I120" s="1">
        <f t="shared" si="1"/>
        <v>109</v>
      </c>
      <c r="J120" s="406">
        <f t="shared" si="13"/>
        <v>48945</v>
      </c>
      <c r="K120" s="105">
        <f t="shared" si="9"/>
        <v>14</v>
      </c>
      <c r="L120" s="411">
        <f t="shared" si="10"/>
        <v>489357.75</v>
      </c>
      <c r="M120" s="407">
        <f t="shared" si="2"/>
        <v>274857.9796</v>
      </c>
      <c r="N120" s="407">
        <f t="shared" si="3"/>
        <v>214499.7703</v>
      </c>
      <c r="O120" s="407">
        <f t="shared" si="4"/>
        <v>93325041.8</v>
      </c>
      <c r="P120" s="1"/>
    </row>
    <row r="121" ht="12.75" customHeight="1">
      <c r="A121" s="1">
        <v>110.0</v>
      </c>
      <c r="B121" s="408">
        <f t="shared" si="5"/>
        <v>489357.75</v>
      </c>
      <c r="C121" s="408">
        <f t="shared" si="6"/>
        <v>213869.8875</v>
      </c>
      <c r="D121" s="408">
        <f t="shared" si="7"/>
        <v>275487.8625</v>
      </c>
      <c r="E121" s="176">
        <f t="shared" si="8"/>
        <v>93049553.94</v>
      </c>
      <c r="F121" s="408">
        <f t="shared" si="11"/>
        <v>27009140.05</v>
      </c>
      <c r="G121" s="408">
        <f t="shared" si="12"/>
        <v>53829352.5</v>
      </c>
      <c r="H121" s="410">
        <f>IF(K121&gt;='Pro Forma Detail'!D$66,'Pro Forma Detail'!D$67,'Debt ReFi'!$B$5)</f>
        <v>0.0275</v>
      </c>
      <c r="I121" s="1">
        <f t="shared" si="1"/>
        <v>110</v>
      </c>
      <c r="J121" s="406">
        <f t="shared" si="13"/>
        <v>48976</v>
      </c>
      <c r="K121" s="105">
        <f t="shared" si="9"/>
        <v>14</v>
      </c>
      <c r="L121" s="411">
        <f t="shared" si="10"/>
        <v>489357.75</v>
      </c>
      <c r="M121" s="407">
        <f t="shared" si="2"/>
        <v>275487.8625</v>
      </c>
      <c r="N121" s="407">
        <f t="shared" si="3"/>
        <v>213869.8875</v>
      </c>
      <c r="O121" s="407">
        <f t="shared" si="4"/>
        <v>93049553.94</v>
      </c>
      <c r="P121" s="1"/>
    </row>
    <row r="122" ht="12.75" customHeight="1">
      <c r="A122" s="1">
        <v>111.0</v>
      </c>
      <c r="B122" s="408">
        <f t="shared" si="5"/>
        <v>489357.75</v>
      </c>
      <c r="C122" s="408">
        <f t="shared" si="6"/>
        <v>213238.5611</v>
      </c>
      <c r="D122" s="408">
        <f t="shared" si="7"/>
        <v>276119.1888</v>
      </c>
      <c r="E122" s="176">
        <f t="shared" si="8"/>
        <v>92773434.75</v>
      </c>
      <c r="F122" s="408">
        <f t="shared" si="11"/>
        <v>27222378.61</v>
      </c>
      <c r="G122" s="408">
        <f t="shared" si="12"/>
        <v>54318710.25</v>
      </c>
      <c r="H122" s="410">
        <f>IF(K122&gt;='Pro Forma Detail'!D$66,'Pro Forma Detail'!D$67,'Debt ReFi'!$B$5)</f>
        <v>0.0275</v>
      </c>
      <c r="I122" s="1">
        <f t="shared" si="1"/>
        <v>111</v>
      </c>
      <c r="J122" s="406">
        <f t="shared" si="13"/>
        <v>49004</v>
      </c>
      <c r="K122" s="105">
        <f t="shared" si="9"/>
        <v>14</v>
      </c>
      <c r="L122" s="411">
        <f t="shared" si="10"/>
        <v>489357.75</v>
      </c>
      <c r="M122" s="407">
        <f t="shared" si="2"/>
        <v>276119.1888</v>
      </c>
      <c r="N122" s="407">
        <f t="shared" si="3"/>
        <v>213238.5611</v>
      </c>
      <c r="O122" s="407">
        <f t="shared" si="4"/>
        <v>92773434.75</v>
      </c>
      <c r="P122" s="1"/>
    </row>
    <row r="123" ht="12.75" customHeight="1">
      <c r="A123" s="1">
        <v>112.0</v>
      </c>
      <c r="B123" s="408">
        <f t="shared" si="5"/>
        <v>489357.75</v>
      </c>
      <c r="C123" s="408">
        <f t="shared" si="6"/>
        <v>212605.788</v>
      </c>
      <c r="D123" s="408">
        <f t="shared" si="7"/>
        <v>276751.962</v>
      </c>
      <c r="E123" s="176">
        <f t="shared" si="8"/>
        <v>92496682.79</v>
      </c>
      <c r="F123" s="408">
        <f t="shared" si="11"/>
        <v>27434984.4</v>
      </c>
      <c r="G123" s="408">
        <f t="shared" si="12"/>
        <v>54808068</v>
      </c>
      <c r="H123" s="410">
        <f>IF(K123&gt;='Pro Forma Detail'!D$66,'Pro Forma Detail'!D$67,'Debt ReFi'!$B$5)</f>
        <v>0.0275</v>
      </c>
      <c r="I123" s="1">
        <f t="shared" si="1"/>
        <v>112</v>
      </c>
      <c r="J123" s="406">
        <f t="shared" si="13"/>
        <v>49035</v>
      </c>
      <c r="K123" s="105">
        <f t="shared" si="9"/>
        <v>14</v>
      </c>
      <c r="L123" s="411">
        <f t="shared" si="10"/>
        <v>489357.75</v>
      </c>
      <c r="M123" s="407">
        <f t="shared" si="2"/>
        <v>276751.962</v>
      </c>
      <c r="N123" s="407">
        <f t="shared" si="3"/>
        <v>212605.788</v>
      </c>
      <c r="O123" s="407">
        <f t="shared" si="4"/>
        <v>92496682.79</v>
      </c>
      <c r="P123" s="1"/>
    </row>
    <row r="124" ht="12.75" customHeight="1">
      <c r="A124" s="1">
        <v>113.0</v>
      </c>
      <c r="B124" s="408">
        <f t="shared" si="5"/>
        <v>489357.75</v>
      </c>
      <c r="C124" s="408">
        <f t="shared" si="6"/>
        <v>211971.5647</v>
      </c>
      <c r="D124" s="408">
        <f t="shared" si="7"/>
        <v>277386.1852</v>
      </c>
      <c r="E124" s="176">
        <f t="shared" si="8"/>
        <v>92219296.61</v>
      </c>
      <c r="F124" s="408">
        <f t="shared" si="11"/>
        <v>27646955.96</v>
      </c>
      <c r="G124" s="408">
        <f t="shared" si="12"/>
        <v>55297425.75</v>
      </c>
      <c r="H124" s="410">
        <f>IF(K124&gt;='Pro Forma Detail'!D$66,'Pro Forma Detail'!D$67,'Debt ReFi'!$B$5)</f>
        <v>0.0275</v>
      </c>
      <c r="I124" s="1">
        <f t="shared" si="1"/>
        <v>113</v>
      </c>
      <c r="J124" s="406">
        <f t="shared" si="13"/>
        <v>49065</v>
      </c>
      <c r="K124" s="105">
        <f t="shared" si="9"/>
        <v>14</v>
      </c>
      <c r="L124" s="411">
        <f t="shared" si="10"/>
        <v>489357.75</v>
      </c>
      <c r="M124" s="407">
        <f t="shared" si="2"/>
        <v>277386.1852</v>
      </c>
      <c r="N124" s="407">
        <f t="shared" si="3"/>
        <v>211971.5647</v>
      </c>
      <c r="O124" s="407">
        <f t="shared" si="4"/>
        <v>92219296.61</v>
      </c>
      <c r="P124" s="1"/>
    </row>
    <row r="125" ht="12.75" customHeight="1">
      <c r="A125" s="1">
        <v>114.0</v>
      </c>
      <c r="B125" s="408">
        <f t="shared" si="5"/>
        <v>489357.75</v>
      </c>
      <c r="C125" s="408">
        <f t="shared" si="6"/>
        <v>211335.8881</v>
      </c>
      <c r="D125" s="408">
        <f t="shared" si="7"/>
        <v>278021.8619</v>
      </c>
      <c r="E125" s="176">
        <f t="shared" si="8"/>
        <v>91941274.74</v>
      </c>
      <c r="F125" s="408">
        <f t="shared" si="11"/>
        <v>27858291.85</v>
      </c>
      <c r="G125" s="408">
        <f t="shared" si="12"/>
        <v>55786783.5</v>
      </c>
      <c r="H125" s="410">
        <f>IF(K125&gt;='Pro Forma Detail'!D$66,'Pro Forma Detail'!D$67,'Debt ReFi'!$B$5)</f>
        <v>0.0275</v>
      </c>
      <c r="I125" s="1">
        <f t="shared" si="1"/>
        <v>114</v>
      </c>
      <c r="J125" s="406">
        <f t="shared" si="13"/>
        <v>49096</v>
      </c>
      <c r="K125" s="105">
        <f t="shared" si="9"/>
        <v>14</v>
      </c>
      <c r="L125" s="411">
        <f t="shared" si="10"/>
        <v>489357.75</v>
      </c>
      <c r="M125" s="407">
        <f t="shared" si="2"/>
        <v>278021.8619</v>
      </c>
      <c r="N125" s="407">
        <f t="shared" si="3"/>
        <v>211335.8881</v>
      </c>
      <c r="O125" s="407">
        <f t="shared" si="4"/>
        <v>91941274.74</v>
      </c>
      <c r="P125" s="1"/>
    </row>
    <row r="126" ht="12.75" customHeight="1">
      <c r="A126" s="1">
        <v>115.0</v>
      </c>
      <c r="B126" s="408">
        <f t="shared" si="5"/>
        <v>489357.75</v>
      </c>
      <c r="C126" s="408">
        <f t="shared" si="6"/>
        <v>210698.7546</v>
      </c>
      <c r="D126" s="408">
        <f t="shared" si="7"/>
        <v>278658.9953</v>
      </c>
      <c r="E126" s="176">
        <f t="shared" si="8"/>
        <v>91662615.75</v>
      </c>
      <c r="F126" s="408">
        <f t="shared" si="11"/>
        <v>28068990.61</v>
      </c>
      <c r="G126" s="408">
        <f t="shared" si="12"/>
        <v>56276141.25</v>
      </c>
      <c r="H126" s="410">
        <f>IF(K126&gt;='Pro Forma Detail'!D$66,'Pro Forma Detail'!D$67,'Debt ReFi'!$B$5)</f>
        <v>0.0275</v>
      </c>
      <c r="I126" s="1">
        <f t="shared" si="1"/>
        <v>115</v>
      </c>
      <c r="J126" s="406">
        <f t="shared" si="13"/>
        <v>49126</v>
      </c>
      <c r="K126" s="105">
        <f t="shared" si="9"/>
        <v>14</v>
      </c>
      <c r="L126" s="411">
        <f t="shared" si="10"/>
        <v>489357.75</v>
      </c>
      <c r="M126" s="407">
        <f t="shared" si="2"/>
        <v>278658.9953</v>
      </c>
      <c r="N126" s="407">
        <f t="shared" si="3"/>
        <v>210698.7546</v>
      </c>
      <c r="O126" s="407">
        <f t="shared" si="4"/>
        <v>91662615.75</v>
      </c>
      <c r="P126" s="1"/>
    </row>
    <row r="127" ht="12.75" customHeight="1">
      <c r="A127" s="1">
        <v>116.0</v>
      </c>
      <c r="B127" s="408">
        <f t="shared" si="5"/>
        <v>489357.75</v>
      </c>
      <c r="C127" s="408">
        <f t="shared" si="6"/>
        <v>210060.1611</v>
      </c>
      <c r="D127" s="408">
        <f t="shared" si="7"/>
        <v>279297.5889</v>
      </c>
      <c r="E127" s="176">
        <f t="shared" si="8"/>
        <v>91383318.16</v>
      </c>
      <c r="F127" s="408">
        <f t="shared" si="11"/>
        <v>28279050.77</v>
      </c>
      <c r="G127" s="408">
        <f t="shared" si="12"/>
        <v>56765499</v>
      </c>
      <c r="H127" s="410">
        <f>IF(K127&gt;='Pro Forma Detail'!D$66,'Pro Forma Detail'!D$67,'Debt ReFi'!$B$5)</f>
        <v>0.0275</v>
      </c>
      <c r="I127" s="1">
        <f t="shared" si="1"/>
        <v>116</v>
      </c>
      <c r="J127" s="406">
        <f t="shared" si="13"/>
        <v>49157</v>
      </c>
      <c r="K127" s="105">
        <f t="shared" si="9"/>
        <v>14</v>
      </c>
      <c r="L127" s="411">
        <f t="shared" si="10"/>
        <v>489357.75</v>
      </c>
      <c r="M127" s="407">
        <f t="shared" si="2"/>
        <v>279297.5889</v>
      </c>
      <c r="N127" s="407">
        <f t="shared" si="3"/>
        <v>210060.1611</v>
      </c>
      <c r="O127" s="407">
        <f t="shared" si="4"/>
        <v>91383318.16</v>
      </c>
      <c r="P127" s="1"/>
    </row>
    <row r="128" ht="12.75" customHeight="1">
      <c r="A128" s="1">
        <v>117.0</v>
      </c>
      <c r="B128" s="408">
        <f t="shared" si="5"/>
        <v>489357.75</v>
      </c>
      <c r="C128" s="408">
        <f t="shared" si="6"/>
        <v>209420.1041</v>
      </c>
      <c r="D128" s="408">
        <f t="shared" si="7"/>
        <v>279937.6458</v>
      </c>
      <c r="E128" s="176">
        <f t="shared" si="8"/>
        <v>91103380.51</v>
      </c>
      <c r="F128" s="408">
        <f t="shared" si="11"/>
        <v>28488470.87</v>
      </c>
      <c r="G128" s="408">
        <f t="shared" si="12"/>
        <v>57254856.74</v>
      </c>
      <c r="H128" s="410">
        <f>IF(K128&gt;='Pro Forma Detail'!D$66,'Pro Forma Detail'!D$67,'Debt ReFi'!$B$5)</f>
        <v>0.0275</v>
      </c>
      <c r="I128" s="1">
        <f t="shared" si="1"/>
        <v>117</v>
      </c>
      <c r="J128" s="406">
        <f t="shared" si="13"/>
        <v>49188</v>
      </c>
      <c r="K128" s="105">
        <f t="shared" si="9"/>
        <v>14</v>
      </c>
      <c r="L128" s="411">
        <f t="shared" si="10"/>
        <v>489357.75</v>
      </c>
      <c r="M128" s="407">
        <f t="shared" si="2"/>
        <v>279937.6458</v>
      </c>
      <c r="N128" s="407">
        <f t="shared" si="3"/>
        <v>209420.1041</v>
      </c>
      <c r="O128" s="407">
        <f t="shared" si="4"/>
        <v>91103380.51</v>
      </c>
      <c r="P128" s="1"/>
    </row>
    <row r="129" ht="12.75" customHeight="1">
      <c r="A129" s="1">
        <v>118.0</v>
      </c>
      <c r="B129" s="408">
        <f t="shared" si="5"/>
        <v>489357.75</v>
      </c>
      <c r="C129" s="408">
        <f t="shared" si="6"/>
        <v>208778.5803</v>
      </c>
      <c r="D129" s="408">
        <f t="shared" si="7"/>
        <v>280579.1696</v>
      </c>
      <c r="E129" s="176">
        <f t="shared" si="8"/>
        <v>90822801.34</v>
      </c>
      <c r="F129" s="408">
        <f t="shared" si="11"/>
        <v>28697249.45</v>
      </c>
      <c r="G129" s="408">
        <f t="shared" si="12"/>
        <v>57744214.49</v>
      </c>
      <c r="H129" s="410">
        <f>IF(K129&gt;='Pro Forma Detail'!D$66,'Pro Forma Detail'!D$67,'Debt ReFi'!$B$5)</f>
        <v>0.0275</v>
      </c>
      <c r="I129" s="1">
        <f t="shared" si="1"/>
        <v>118</v>
      </c>
      <c r="J129" s="406">
        <f t="shared" si="13"/>
        <v>49218</v>
      </c>
      <c r="K129" s="105">
        <f t="shared" si="9"/>
        <v>14</v>
      </c>
      <c r="L129" s="411">
        <f t="shared" si="10"/>
        <v>489357.75</v>
      </c>
      <c r="M129" s="407">
        <f t="shared" si="2"/>
        <v>280579.1696</v>
      </c>
      <c r="N129" s="407">
        <f t="shared" si="3"/>
        <v>208778.5803</v>
      </c>
      <c r="O129" s="407">
        <f t="shared" si="4"/>
        <v>90822801.34</v>
      </c>
      <c r="P129" s="1"/>
    </row>
    <row r="130" ht="12.75" customHeight="1">
      <c r="A130" s="1">
        <v>119.0</v>
      </c>
      <c r="B130" s="408">
        <f t="shared" si="5"/>
        <v>489357.75</v>
      </c>
      <c r="C130" s="408">
        <f t="shared" si="6"/>
        <v>208135.5864</v>
      </c>
      <c r="D130" s="408">
        <f t="shared" si="7"/>
        <v>281222.1635</v>
      </c>
      <c r="E130" s="176">
        <f t="shared" si="8"/>
        <v>90541579.18</v>
      </c>
      <c r="F130" s="408">
        <f t="shared" si="11"/>
        <v>28905385.04</v>
      </c>
      <c r="G130" s="408">
        <f t="shared" si="12"/>
        <v>58233572.24</v>
      </c>
      <c r="H130" s="410">
        <f>IF(K130&gt;='Pro Forma Detail'!D$66,'Pro Forma Detail'!D$67,'Debt ReFi'!$B$5)</f>
        <v>0.0275</v>
      </c>
      <c r="I130" s="1">
        <f t="shared" si="1"/>
        <v>119</v>
      </c>
      <c r="J130" s="406">
        <f t="shared" si="13"/>
        <v>49249</v>
      </c>
      <c r="K130" s="105">
        <f t="shared" si="9"/>
        <v>14</v>
      </c>
      <c r="L130" s="411">
        <f t="shared" si="10"/>
        <v>489357.75</v>
      </c>
      <c r="M130" s="407">
        <f t="shared" si="2"/>
        <v>281222.1635</v>
      </c>
      <c r="N130" s="407">
        <f t="shared" si="3"/>
        <v>208135.5864</v>
      </c>
      <c r="O130" s="407">
        <f t="shared" si="4"/>
        <v>90541579.18</v>
      </c>
      <c r="P130" s="1"/>
    </row>
    <row r="131" ht="12.75" customHeight="1">
      <c r="A131" s="1">
        <v>120.0</v>
      </c>
      <c r="B131" s="408">
        <f t="shared" si="5"/>
        <v>489357.75</v>
      </c>
      <c r="C131" s="408">
        <f t="shared" si="6"/>
        <v>207491.119</v>
      </c>
      <c r="D131" s="408">
        <f t="shared" si="7"/>
        <v>281866.631</v>
      </c>
      <c r="E131" s="176">
        <f t="shared" si="8"/>
        <v>90259712.55</v>
      </c>
      <c r="F131" s="408">
        <f t="shared" si="11"/>
        <v>29112876.16</v>
      </c>
      <c r="G131" s="408">
        <f t="shared" si="12"/>
        <v>58722929.99</v>
      </c>
      <c r="H131" s="410">
        <f>IF(K131&gt;='Pro Forma Detail'!D$66,'Pro Forma Detail'!D$67,'Debt ReFi'!$B$5)</f>
        <v>0.0275</v>
      </c>
      <c r="I131" s="1">
        <f t="shared" si="1"/>
        <v>120</v>
      </c>
      <c r="J131" s="406">
        <f t="shared" si="13"/>
        <v>49279</v>
      </c>
      <c r="K131" s="105">
        <f t="shared" si="9"/>
        <v>14</v>
      </c>
      <c r="L131" s="411">
        <f t="shared" si="10"/>
        <v>489357.75</v>
      </c>
      <c r="M131" s="407">
        <f t="shared" si="2"/>
        <v>281866.631</v>
      </c>
      <c r="N131" s="407">
        <f t="shared" si="3"/>
        <v>207491.119</v>
      </c>
      <c r="O131" s="407">
        <f t="shared" si="4"/>
        <v>90259712.55</v>
      </c>
      <c r="P131" s="1"/>
    </row>
    <row r="132" ht="12.75" customHeight="1">
      <c r="A132" s="1">
        <v>121.0</v>
      </c>
      <c r="B132" s="408">
        <f t="shared" si="5"/>
        <v>489357.75</v>
      </c>
      <c r="C132" s="408">
        <f t="shared" si="6"/>
        <v>206845.1746</v>
      </c>
      <c r="D132" s="408">
        <f t="shared" si="7"/>
        <v>282512.5754</v>
      </c>
      <c r="E132" s="176">
        <f t="shared" si="8"/>
        <v>89977199.97</v>
      </c>
      <c r="F132" s="408">
        <f t="shared" si="11"/>
        <v>29319721.33</v>
      </c>
      <c r="G132" s="408">
        <f t="shared" si="12"/>
        <v>59212287.74</v>
      </c>
      <c r="H132" s="410">
        <f>IF(K132&gt;='Pro Forma Detail'!D$66,'Pro Forma Detail'!D$67,'Debt ReFi'!$B$5)</f>
        <v>0.0275</v>
      </c>
      <c r="I132" s="1">
        <f t="shared" si="1"/>
        <v>121</v>
      </c>
      <c r="J132" s="406">
        <f t="shared" si="13"/>
        <v>49310</v>
      </c>
      <c r="K132" s="105">
        <f t="shared" si="9"/>
        <v>15</v>
      </c>
      <c r="L132" s="411">
        <f t="shared" si="10"/>
        <v>489357.75</v>
      </c>
      <c r="M132" s="407">
        <f t="shared" si="2"/>
        <v>282512.5754</v>
      </c>
      <c r="N132" s="407">
        <f t="shared" si="3"/>
        <v>206845.1746</v>
      </c>
      <c r="O132" s="407">
        <f t="shared" si="4"/>
        <v>89977199.97</v>
      </c>
      <c r="P132" s="1"/>
    </row>
    <row r="133" ht="12.75" customHeight="1">
      <c r="A133" s="1">
        <v>122.0</v>
      </c>
      <c r="B133" s="408">
        <f t="shared" si="5"/>
        <v>489357.75</v>
      </c>
      <c r="C133" s="408">
        <f t="shared" si="6"/>
        <v>206197.7499</v>
      </c>
      <c r="D133" s="408">
        <f t="shared" si="7"/>
        <v>283160</v>
      </c>
      <c r="E133" s="176">
        <f t="shared" si="8"/>
        <v>89694039.97</v>
      </c>
      <c r="F133" s="408">
        <f t="shared" si="11"/>
        <v>29525919.08</v>
      </c>
      <c r="G133" s="408">
        <f t="shared" si="12"/>
        <v>59701645.49</v>
      </c>
      <c r="H133" s="410">
        <f>IF(K133&gt;='Pro Forma Detail'!D$66,'Pro Forma Detail'!D$67,'Debt ReFi'!$B$5)</f>
        <v>0.0275</v>
      </c>
      <c r="I133" s="1">
        <f t="shared" si="1"/>
        <v>122</v>
      </c>
      <c r="J133" s="406">
        <f t="shared" si="13"/>
        <v>49341</v>
      </c>
      <c r="K133" s="105">
        <f t="shared" si="9"/>
        <v>15</v>
      </c>
      <c r="L133" s="411">
        <f t="shared" si="10"/>
        <v>489357.75</v>
      </c>
      <c r="M133" s="407">
        <f t="shared" si="2"/>
        <v>283160</v>
      </c>
      <c r="N133" s="407">
        <f t="shared" si="3"/>
        <v>206197.7499</v>
      </c>
      <c r="O133" s="407">
        <f t="shared" si="4"/>
        <v>89694039.97</v>
      </c>
      <c r="P133" s="1"/>
    </row>
    <row r="134" ht="12.75" customHeight="1">
      <c r="A134" s="1">
        <v>123.0</v>
      </c>
      <c r="B134" s="408">
        <f t="shared" si="5"/>
        <v>489357.75</v>
      </c>
      <c r="C134" s="408">
        <f t="shared" si="6"/>
        <v>205548.8416</v>
      </c>
      <c r="D134" s="408">
        <f t="shared" si="7"/>
        <v>283808.9083</v>
      </c>
      <c r="E134" s="176">
        <f t="shared" si="8"/>
        <v>89410231.07</v>
      </c>
      <c r="F134" s="408">
        <f t="shared" si="11"/>
        <v>29731467.92</v>
      </c>
      <c r="G134" s="408">
        <f t="shared" si="12"/>
        <v>60191003.24</v>
      </c>
      <c r="H134" s="410">
        <f>IF(K134&gt;='Pro Forma Detail'!D$66,'Pro Forma Detail'!D$67,'Debt ReFi'!$B$5)</f>
        <v>0.0275</v>
      </c>
      <c r="I134" s="1">
        <f t="shared" si="1"/>
        <v>123</v>
      </c>
      <c r="J134" s="406">
        <f t="shared" si="13"/>
        <v>49369</v>
      </c>
      <c r="K134" s="105">
        <f t="shared" si="9"/>
        <v>15</v>
      </c>
      <c r="L134" s="411">
        <f t="shared" si="10"/>
        <v>489357.75</v>
      </c>
      <c r="M134" s="407">
        <f t="shared" si="2"/>
        <v>283808.9083</v>
      </c>
      <c r="N134" s="407">
        <f t="shared" si="3"/>
        <v>205548.8416</v>
      </c>
      <c r="O134" s="407">
        <f t="shared" si="4"/>
        <v>89410231.07</v>
      </c>
      <c r="P134" s="1"/>
    </row>
    <row r="135" ht="12.75" customHeight="1">
      <c r="A135" s="1">
        <v>124.0</v>
      </c>
      <c r="B135" s="408">
        <f t="shared" si="5"/>
        <v>489357.75</v>
      </c>
      <c r="C135" s="408">
        <f t="shared" si="6"/>
        <v>204898.4462</v>
      </c>
      <c r="D135" s="408">
        <f t="shared" si="7"/>
        <v>284459.3038</v>
      </c>
      <c r="E135" s="176">
        <f t="shared" si="8"/>
        <v>89125771.76</v>
      </c>
      <c r="F135" s="408">
        <f t="shared" si="11"/>
        <v>29936366.37</v>
      </c>
      <c r="G135" s="408">
        <f t="shared" si="12"/>
        <v>60680360.99</v>
      </c>
      <c r="H135" s="410">
        <f>IF(K135&gt;='Pro Forma Detail'!D$66,'Pro Forma Detail'!D$67,'Debt ReFi'!$B$5)</f>
        <v>0.0275</v>
      </c>
      <c r="I135" s="1">
        <f t="shared" si="1"/>
        <v>124</v>
      </c>
      <c r="J135" s="406">
        <f t="shared" si="13"/>
        <v>49400</v>
      </c>
      <c r="K135" s="105">
        <f t="shared" si="9"/>
        <v>15</v>
      </c>
      <c r="L135" s="411">
        <f t="shared" si="10"/>
        <v>489357.75</v>
      </c>
      <c r="M135" s="407">
        <f t="shared" si="2"/>
        <v>284459.3038</v>
      </c>
      <c r="N135" s="407">
        <f t="shared" si="3"/>
        <v>204898.4462</v>
      </c>
      <c r="O135" s="407">
        <f t="shared" si="4"/>
        <v>89125771.76</v>
      </c>
      <c r="P135" s="1"/>
    </row>
    <row r="136" ht="12.75" customHeight="1">
      <c r="A136" s="1">
        <v>125.0</v>
      </c>
      <c r="B136" s="408">
        <f t="shared" si="5"/>
        <v>489357.75</v>
      </c>
      <c r="C136" s="408">
        <f t="shared" si="6"/>
        <v>204246.5603</v>
      </c>
      <c r="D136" s="408">
        <f t="shared" si="7"/>
        <v>285111.1897</v>
      </c>
      <c r="E136" s="176">
        <f t="shared" si="8"/>
        <v>88840660.57</v>
      </c>
      <c r="F136" s="408">
        <f t="shared" si="11"/>
        <v>30140612.93</v>
      </c>
      <c r="G136" s="408">
        <f t="shared" si="12"/>
        <v>61169718.74</v>
      </c>
      <c r="H136" s="410">
        <f>IF(K136&gt;='Pro Forma Detail'!D$66,'Pro Forma Detail'!D$67,'Debt ReFi'!$B$5)</f>
        <v>0.0275</v>
      </c>
      <c r="I136" s="1">
        <f t="shared" si="1"/>
        <v>125</v>
      </c>
      <c r="J136" s="406">
        <f t="shared" si="13"/>
        <v>49430</v>
      </c>
      <c r="K136" s="105">
        <f t="shared" si="9"/>
        <v>15</v>
      </c>
      <c r="L136" s="411">
        <f t="shared" si="10"/>
        <v>489357.75</v>
      </c>
      <c r="M136" s="407">
        <f t="shared" si="2"/>
        <v>285111.1897</v>
      </c>
      <c r="N136" s="407">
        <f t="shared" si="3"/>
        <v>204246.5603</v>
      </c>
      <c r="O136" s="407">
        <f t="shared" si="4"/>
        <v>88840660.57</v>
      </c>
      <c r="P136" s="1"/>
    </row>
    <row r="137" ht="12.75" customHeight="1">
      <c r="A137" s="1">
        <v>126.0</v>
      </c>
      <c r="B137" s="408">
        <f t="shared" si="5"/>
        <v>489357.75</v>
      </c>
      <c r="C137" s="408">
        <f t="shared" si="6"/>
        <v>203593.1805</v>
      </c>
      <c r="D137" s="408">
        <f t="shared" si="7"/>
        <v>285764.5695</v>
      </c>
      <c r="E137" s="176">
        <f t="shared" si="8"/>
        <v>88554896</v>
      </c>
      <c r="F137" s="408">
        <f t="shared" si="11"/>
        <v>30344206.11</v>
      </c>
      <c r="G137" s="408">
        <f t="shared" si="12"/>
        <v>61659076.49</v>
      </c>
      <c r="H137" s="410">
        <f>IF(K137&gt;='Pro Forma Detail'!D$66,'Pro Forma Detail'!D$67,'Debt ReFi'!$B$5)</f>
        <v>0.0275</v>
      </c>
      <c r="I137" s="1">
        <f t="shared" si="1"/>
        <v>126</v>
      </c>
      <c r="J137" s="406">
        <f t="shared" si="13"/>
        <v>49461</v>
      </c>
      <c r="K137" s="105">
        <f t="shared" si="9"/>
        <v>15</v>
      </c>
      <c r="L137" s="411">
        <f t="shared" si="10"/>
        <v>489357.75</v>
      </c>
      <c r="M137" s="407">
        <f t="shared" si="2"/>
        <v>285764.5695</v>
      </c>
      <c r="N137" s="407">
        <f t="shared" si="3"/>
        <v>203593.1805</v>
      </c>
      <c r="O137" s="407">
        <f t="shared" si="4"/>
        <v>88554896</v>
      </c>
      <c r="P137" s="1"/>
    </row>
    <row r="138" ht="12.75" customHeight="1">
      <c r="A138" s="1">
        <v>127.0</v>
      </c>
      <c r="B138" s="408">
        <f t="shared" si="5"/>
        <v>489357.75</v>
      </c>
      <c r="C138" s="408">
        <f t="shared" si="6"/>
        <v>202938.3033</v>
      </c>
      <c r="D138" s="408">
        <f t="shared" si="7"/>
        <v>286419.4466</v>
      </c>
      <c r="E138" s="176">
        <f t="shared" si="8"/>
        <v>88268476.56</v>
      </c>
      <c r="F138" s="408">
        <f t="shared" si="11"/>
        <v>30547144.41</v>
      </c>
      <c r="G138" s="408">
        <f t="shared" si="12"/>
        <v>62148434.24</v>
      </c>
      <c r="H138" s="410">
        <f>IF(K138&gt;='Pro Forma Detail'!D$66,'Pro Forma Detail'!D$67,'Debt ReFi'!$B$5)</f>
        <v>0.0275</v>
      </c>
      <c r="I138" s="1">
        <f t="shared" si="1"/>
        <v>127</v>
      </c>
      <c r="J138" s="406">
        <f t="shared" si="13"/>
        <v>49491</v>
      </c>
      <c r="K138" s="105">
        <f t="shared" si="9"/>
        <v>15</v>
      </c>
      <c r="L138" s="411">
        <f t="shared" si="10"/>
        <v>489357.75</v>
      </c>
      <c r="M138" s="407">
        <f t="shared" si="2"/>
        <v>286419.4466</v>
      </c>
      <c r="N138" s="407">
        <f t="shared" si="3"/>
        <v>202938.3033</v>
      </c>
      <c r="O138" s="407">
        <f t="shared" si="4"/>
        <v>88268476.56</v>
      </c>
      <c r="P138" s="1"/>
    </row>
    <row r="139" ht="12.75" customHeight="1">
      <c r="A139" s="1">
        <v>128.0</v>
      </c>
      <c r="B139" s="408">
        <f t="shared" si="5"/>
        <v>489357.75</v>
      </c>
      <c r="C139" s="408">
        <f t="shared" si="6"/>
        <v>202281.9254</v>
      </c>
      <c r="D139" s="408">
        <f t="shared" si="7"/>
        <v>287075.8245</v>
      </c>
      <c r="E139" s="176">
        <f t="shared" si="8"/>
        <v>87981400.73</v>
      </c>
      <c r="F139" s="408">
        <f t="shared" si="11"/>
        <v>30749426.34</v>
      </c>
      <c r="G139" s="408">
        <f t="shared" si="12"/>
        <v>62637791.99</v>
      </c>
      <c r="H139" s="410">
        <f>IF(K139&gt;='Pro Forma Detail'!D$66,'Pro Forma Detail'!D$67,'Debt ReFi'!$B$5)</f>
        <v>0.0275</v>
      </c>
      <c r="I139" s="1">
        <f t="shared" si="1"/>
        <v>128</v>
      </c>
      <c r="J139" s="406">
        <f t="shared" si="13"/>
        <v>49522</v>
      </c>
      <c r="K139" s="105">
        <f t="shared" si="9"/>
        <v>15</v>
      </c>
      <c r="L139" s="411">
        <f t="shared" si="10"/>
        <v>489357.75</v>
      </c>
      <c r="M139" s="407">
        <f t="shared" si="2"/>
        <v>287075.8245</v>
      </c>
      <c r="N139" s="407">
        <f t="shared" si="3"/>
        <v>202281.9254</v>
      </c>
      <c r="O139" s="407">
        <f t="shared" si="4"/>
        <v>87981400.73</v>
      </c>
      <c r="P139" s="1"/>
    </row>
    <row r="140" ht="12.75" customHeight="1">
      <c r="A140" s="1">
        <v>129.0</v>
      </c>
      <c r="B140" s="408">
        <f t="shared" si="5"/>
        <v>489357.75</v>
      </c>
      <c r="C140" s="408">
        <f t="shared" si="6"/>
        <v>201624.0433</v>
      </c>
      <c r="D140" s="408">
        <f t="shared" si="7"/>
        <v>287733.7066</v>
      </c>
      <c r="E140" s="176">
        <f t="shared" si="8"/>
        <v>87693667.03</v>
      </c>
      <c r="F140" s="408">
        <f t="shared" si="11"/>
        <v>30951050.38</v>
      </c>
      <c r="G140" s="408">
        <f t="shared" si="12"/>
        <v>63127149.74</v>
      </c>
      <c r="H140" s="410">
        <f>IF(K140&gt;='Pro Forma Detail'!D$66,'Pro Forma Detail'!D$67,'Debt ReFi'!$B$5)</f>
        <v>0.0275</v>
      </c>
      <c r="I140" s="1">
        <f t="shared" si="1"/>
        <v>129</v>
      </c>
      <c r="J140" s="406">
        <f t="shared" si="13"/>
        <v>49553</v>
      </c>
      <c r="K140" s="105">
        <f t="shared" si="9"/>
        <v>15</v>
      </c>
      <c r="L140" s="411">
        <f t="shared" si="10"/>
        <v>489357.75</v>
      </c>
      <c r="M140" s="407">
        <f t="shared" si="2"/>
        <v>287733.7066</v>
      </c>
      <c r="N140" s="407">
        <f t="shared" si="3"/>
        <v>201624.0433</v>
      </c>
      <c r="O140" s="407">
        <f t="shared" si="4"/>
        <v>87693667.03</v>
      </c>
      <c r="P140" s="1"/>
    </row>
    <row r="141" ht="12.75" customHeight="1">
      <c r="A141" s="1">
        <v>130.0</v>
      </c>
      <c r="B141" s="408">
        <f t="shared" si="5"/>
        <v>489357.75</v>
      </c>
      <c r="C141" s="408">
        <f t="shared" si="6"/>
        <v>200964.6536</v>
      </c>
      <c r="D141" s="408">
        <f t="shared" si="7"/>
        <v>288393.0964</v>
      </c>
      <c r="E141" s="176">
        <f t="shared" si="8"/>
        <v>87405273.93</v>
      </c>
      <c r="F141" s="408">
        <f t="shared" si="11"/>
        <v>31152015.04</v>
      </c>
      <c r="G141" s="408">
        <f t="shared" si="12"/>
        <v>63616507.49</v>
      </c>
      <c r="H141" s="410">
        <f>IF(K141&gt;='Pro Forma Detail'!D$66,'Pro Forma Detail'!D$67,'Debt ReFi'!$B$5)</f>
        <v>0.0275</v>
      </c>
      <c r="I141" s="1">
        <f t="shared" si="1"/>
        <v>130</v>
      </c>
      <c r="J141" s="406">
        <f t="shared" si="13"/>
        <v>49583</v>
      </c>
      <c r="K141" s="105">
        <f t="shared" si="9"/>
        <v>15</v>
      </c>
      <c r="L141" s="411">
        <f t="shared" si="10"/>
        <v>489357.75</v>
      </c>
      <c r="M141" s="407">
        <f t="shared" si="2"/>
        <v>288393.0964</v>
      </c>
      <c r="N141" s="407">
        <f t="shared" si="3"/>
        <v>200964.6536</v>
      </c>
      <c r="O141" s="407">
        <f t="shared" si="4"/>
        <v>87405273.93</v>
      </c>
      <c r="P141" s="1"/>
    </row>
    <row r="142" ht="12.75" customHeight="1">
      <c r="A142" s="1">
        <v>131.0</v>
      </c>
      <c r="B142" s="408">
        <f t="shared" si="5"/>
        <v>489357.75</v>
      </c>
      <c r="C142" s="408">
        <f t="shared" si="6"/>
        <v>200303.7528</v>
      </c>
      <c r="D142" s="408">
        <f t="shared" si="7"/>
        <v>289053.9972</v>
      </c>
      <c r="E142" s="176">
        <f t="shared" si="8"/>
        <v>87116219.93</v>
      </c>
      <c r="F142" s="408">
        <f t="shared" si="11"/>
        <v>31352318.79</v>
      </c>
      <c r="G142" s="408">
        <f t="shared" si="12"/>
        <v>64105865.24</v>
      </c>
      <c r="H142" s="410">
        <f>IF(K142&gt;='Pro Forma Detail'!D$66,'Pro Forma Detail'!D$67,'Debt ReFi'!$B$5)</f>
        <v>0.0275</v>
      </c>
      <c r="I142" s="1">
        <f t="shared" si="1"/>
        <v>131</v>
      </c>
      <c r="J142" s="406">
        <f t="shared" si="13"/>
        <v>49614</v>
      </c>
      <c r="K142" s="105">
        <f t="shared" si="9"/>
        <v>15</v>
      </c>
      <c r="L142" s="411">
        <f t="shared" si="10"/>
        <v>489357.75</v>
      </c>
      <c r="M142" s="407">
        <f t="shared" si="2"/>
        <v>289053.9972</v>
      </c>
      <c r="N142" s="407">
        <f t="shared" si="3"/>
        <v>200303.7528</v>
      </c>
      <c r="O142" s="407">
        <f t="shared" si="4"/>
        <v>87116219.93</v>
      </c>
      <c r="P142" s="1"/>
    </row>
    <row r="143" ht="12.75" customHeight="1">
      <c r="A143" s="1">
        <v>132.0</v>
      </c>
      <c r="B143" s="408">
        <f t="shared" si="5"/>
        <v>489357.75</v>
      </c>
      <c r="C143" s="408">
        <f t="shared" si="6"/>
        <v>199641.3373</v>
      </c>
      <c r="D143" s="408">
        <f t="shared" si="7"/>
        <v>289716.4126</v>
      </c>
      <c r="E143" s="176">
        <f t="shared" si="8"/>
        <v>86826503.52</v>
      </c>
      <c r="F143" s="408">
        <f t="shared" si="11"/>
        <v>31551960.13</v>
      </c>
      <c r="G143" s="408">
        <f t="shared" si="12"/>
        <v>64595222.99</v>
      </c>
      <c r="H143" s="410">
        <f>IF(K143&gt;='Pro Forma Detail'!D$66,'Pro Forma Detail'!D$67,'Debt ReFi'!$B$5)</f>
        <v>0.0275</v>
      </c>
      <c r="I143" s="1">
        <f t="shared" si="1"/>
        <v>132</v>
      </c>
      <c r="J143" s="406">
        <f t="shared" si="13"/>
        <v>49644</v>
      </c>
      <c r="K143" s="105">
        <f t="shared" si="9"/>
        <v>15</v>
      </c>
      <c r="L143" s="411">
        <f t="shared" si="10"/>
        <v>489357.75</v>
      </c>
      <c r="M143" s="407">
        <f t="shared" si="2"/>
        <v>289716.4126</v>
      </c>
      <c r="N143" s="407">
        <f t="shared" si="3"/>
        <v>199641.3373</v>
      </c>
      <c r="O143" s="407">
        <f t="shared" si="4"/>
        <v>86826503.52</v>
      </c>
      <c r="P143" s="1"/>
    </row>
    <row r="144" ht="12.75" customHeight="1">
      <c r="A144" s="1">
        <v>133.0</v>
      </c>
      <c r="B144" s="408">
        <f t="shared" si="5"/>
        <v>489357.75</v>
      </c>
      <c r="C144" s="408">
        <f t="shared" si="6"/>
        <v>198977.4039</v>
      </c>
      <c r="D144" s="408">
        <f t="shared" si="7"/>
        <v>290380.3461</v>
      </c>
      <c r="E144" s="176">
        <f t="shared" si="8"/>
        <v>86536123.17</v>
      </c>
      <c r="F144" s="408">
        <f t="shared" si="11"/>
        <v>31750937.53</v>
      </c>
      <c r="G144" s="408">
        <f t="shared" si="12"/>
        <v>65084580.74</v>
      </c>
      <c r="H144" s="410">
        <f>IF(K144&gt;='Pro Forma Detail'!D$66,'Pro Forma Detail'!D$67,'Debt ReFi'!$B$5)</f>
        <v>0.0275</v>
      </c>
      <c r="I144" s="1">
        <f t="shared" si="1"/>
        <v>133</v>
      </c>
      <c r="J144" s="406">
        <f t="shared" si="13"/>
        <v>49675</v>
      </c>
      <c r="K144" s="105">
        <f t="shared" si="9"/>
        <v>16</v>
      </c>
      <c r="L144" s="411">
        <f t="shared" si="10"/>
        <v>489357.75</v>
      </c>
      <c r="M144" s="407">
        <f t="shared" si="2"/>
        <v>290380.3461</v>
      </c>
      <c r="N144" s="407">
        <f t="shared" si="3"/>
        <v>198977.4039</v>
      </c>
      <c r="O144" s="407">
        <f t="shared" si="4"/>
        <v>86536123.17</v>
      </c>
      <c r="P144" s="1"/>
    </row>
    <row r="145" ht="12.75" customHeight="1">
      <c r="A145" s="1">
        <v>134.0</v>
      </c>
      <c r="B145" s="408">
        <f t="shared" si="5"/>
        <v>489357.75</v>
      </c>
      <c r="C145" s="408">
        <f t="shared" si="6"/>
        <v>198311.9489</v>
      </c>
      <c r="D145" s="408">
        <f t="shared" si="7"/>
        <v>291045.801</v>
      </c>
      <c r="E145" s="176">
        <f t="shared" si="8"/>
        <v>86245077.37</v>
      </c>
      <c r="F145" s="408">
        <f t="shared" si="11"/>
        <v>31949249.48</v>
      </c>
      <c r="G145" s="408">
        <f t="shared" si="12"/>
        <v>65573938.49</v>
      </c>
      <c r="H145" s="410">
        <f>IF(K145&gt;='Pro Forma Detail'!D$66,'Pro Forma Detail'!D$67,'Debt ReFi'!$B$5)</f>
        <v>0.0275</v>
      </c>
      <c r="I145" s="1">
        <f t="shared" si="1"/>
        <v>134</v>
      </c>
      <c r="J145" s="406">
        <f t="shared" si="13"/>
        <v>49706</v>
      </c>
      <c r="K145" s="105">
        <f t="shared" si="9"/>
        <v>16</v>
      </c>
      <c r="L145" s="411">
        <f t="shared" si="10"/>
        <v>489357.75</v>
      </c>
      <c r="M145" s="407">
        <f t="shared" si="2"/>
        <v>291045.801</v>
      </c>
      <c r="N145" s="407">
        <f t="shared" si="3"/>
        <v>198311.9489</v>
      </c>
      <c r="O145" s="407">
        <f t="shared" si="4"/>
        <v>86245077.37</v>
      </c>
      <c r="P145" s="1"/>
    </row>
    <row r="146" ht="12.75" customHeight="1">
      <c r="A146" s="1">
        <v>135.0</v>
      </c>
      <c r="B146" s="408">
        <f t="shared" si="5"/>
        <v>489357.75</v>
      </c>
      <c r="C146" s="408">
        <f t="shared" si="6"/>
        <v>197644.969</v>
      </c>
      <c r="D146" s="408">
        <f t="shared" si="7"/>
        <v>291712.781</v>
      </c>
      <c r="E146" s="176">
        <f t="shared" si="8"/>
        <v>85953364.59</v>
      </c>
      <c r="F146" s="408">
        <f t="shared" si="11"/>
        <v>32146894.45</v>
      </c>
      <c r="G146" s="408">
        <f t="shared" si="12"/>
        <v>66063296.24</v>
      </c>
      <c r="H146" s="410">
        <f>IF(K146&gt;='Pro Forma Detail'!D$66,'Pro Forma Detail'!D$67,'Debt ReFi'!$B$5)</f>
        <v>0.0275</v>
      </c>
      <c r="I146" s="1">
        <f t="shared" si="1"/>
        <v>135</v>
      </c>
      <c r="J146" s="406">
        <f t="shared" si="13"/>
        <v>49735</v>
      </c>
      <c r="K146" s="105">
        <f t="shared" si="9"/>
        <v>16</v>
      </c>
      <c r="L146" s="411">
        <f t="shared" si="10"/>
        <v>489357.75</v>
      </c>
      <c r="M146" s="407">
        <f t="shared" si="2"/>
        <v>291712.781</v>
      </c>
      <c r="N146" s="407">
        <f t="shared" si="3"/>
        <v>197644.969</v>
      </c>
      <c r="O146" s="407">
        <f t="shared" si="4"/>
        <v>85953364.59</v>
      </c>
      <c r="P146" s="1"/>
    </row>
    <row r="147" ht="12.75" customHeight="1">
      <c r="A147" s="1">
        <v>136.0</v>
      </c>
      <c r="B147" s="408">
        <f t="shared" si="5"/>
        <v>489357.75</v>
      </c>
      <c r="C147" s="408">
        <f t="shared" si="6"/>
        <v>196976.4605</v>
      </c>
      <c r="D147" s="408">
        <f t="shared" si="7"/>
        <v>292381.2894</v>
      </c>
      <c r="E147" s="176">
        <f t="shared" si="8"/>
        <v>85660983.3</v>
      </c>
      <c r="F147" s="408">
        <f t="shared" si="11"/>
        <v>32343870.91</v>
      </c>
      <c r="G147" s="408">
        <f t="shared" si="12"/>
        <v>66552653.99</v>
      </c>
      <c r="H147" s="410">
        <f>IF(K147&gt;='Pro Forma Detail'!D$66,'Pro Forma Detail'!D$67,'Debt ReFi'!$B$5)</f>
        <v>0.0275</v>
      </c>
      <c r="I147" s="1">
        <f t="shared" si="1"/>
        <v>136</v>
      </c>
      <c r="J147" s="406">
        <f t="shared" si="13"/>
        <v>49766</v>
      </c>
      <c r="K147" s="105">
        <f t="shared" si="9"/>
        <v>16</v>
      </c>
      <c r="L147" s="411">
        <f t="shared" si="10"/>
        <v>489357.75</v>
      </c>
      <c r="M147" s="407">
        <f t="shared" si="2"/>
        <v>292381.2894</v>
      </c>
      <c r="N147" s="407">
        <f t="shared" si="3"/>
        <v>196976.4605</v>
      </c>
      <c r="O147" s="407">
        <f t="shared" si="4"/>
        <v>85660983.3</v>
      </c>
      <c r="P147" s="1"/>
    </row>
    <row r="148" ht="12.75" customHeight="1">
      <c r="A148" s="1">
        <v>137.0</v>
      </c>
      <c r="B148" s="408">
        <f t="shared" si="5"/>
        <v>489357.75</v>
      </c>
      <c r="C148" s="408">
        <f t="shared" si="6"/>
        <v>196306.4201</v>
      </c>
      <c r="D148" s="408">
        <f t="shared" si="7"/>
        <v>293051.3299</v>
      </c>
      <c r="E148" s="176">
        <f t="shared" si="8"/>
        <v>85367931.97</v>
      </c>
      <c r="F148" s="408">
        <f t="shared" si="11"/>
        <v>32540177.33</v>
      </c>
      <c r="G148" s="408">
        <f t="shared" si="12"/>
        <v>67042011.74</v>
      </c>
      <c r="H148" s="410">
        <f>IF(K148&gt;='Pro Forma Detail'!D$66,'Pro Forma Detail'!D$67,'Debt ReFi'!$B$5)</f>
        <v>0.0275</v>
      </c>
      <c r="I148" s="1">
        <f t="shared" si="1"/>
        <v>137</v>
      </c>
      <c r="J148" s="406">
        <f t="shared" si="13"/>
        <v>49796</v>
      </c>
      <c r="K148" s="105">
        <f t="shared" si="9"/>
        <v>16</v>
      </c>
      <c r="L148" s="411">
        <f t="shared" si="10"/>
        <v>489357.75</v>
      </c>
      <c r="M148" s="407">
        <f t="shared" si="2"/>
        <v>293051.3299</v>
      </c>
      <c r="N148" s="407">
        <f t="shared" si="3"/>
        <v>196306.4201</v>
      </c>
      <c r="O148" s="407">
        <f t="shared" si="4"/>
        <v>85367931.97</v>
      </c>
      <c r="P148" s="1"/>
    </row>
    <row r="149" ht="12.75" customHeight="1">
      <c r="A149" s="1">
        <v>138.0</v>
      </c>
      <c r="B149" s="408">
        <f t="shared" si="5"/>
        <v>489357.75</v>
      </c>
      <c r="C149" s="408">
        <f t="shared" si="6"/>
        <v>195634.8441</v>
      </c>
      <c r="D149" s="408">
        <f t="shared" si="7"/>
        <v>293722.9059</v>
      </c>
      <c r="E149" s="176">
        <f t="shared" si="8"/>
        <v>85074209.07</v>
      </c>
      <c r="F149" s="408">
        <f t="shared" si="11"/>
        <v>32735812.17</v>
      </c>
      <c r="G149" s="408">
        <f t="shared" si="12"/>
        <v>67531369.49</v>
      </c>
      <c r="H149" s="410">
        <f>IF(K149&gt;='Pro Forma Detail'!D$66,'Pro Forma Detail'!D$67,'Debt ReFi'!$B$5)</f>
        <v>0.0275</v>
      </c>
      <c r="I149" s="1">
        <f t="shared" si="1"/>
        <v>138</v>
      </c>
      <c r="J149" s="406">
        <f t="shared" si="13"/>
        <v>49827</v>
      </c>
      <c r="K149" s="105">
        <f t="shared" si="9"/>
        <v>16</v>
      </c>
      <c r="L149" s="411">
        <f t="shared" si="10"/>
        <v>489357.75</v>
      </c>
      <c r="M149" s="407">
        <f t="shared" si="2"/>
        <v>293722.9059</v>
      </c>
      <c r="N149" s="407">
        <f t="shared" si="3"/>
        <v>195634.8441</v>
      </c>
      <c r="O149" s="407">
        <f t="shared" si="4"/>
        <v>85074209.07</v>
      </c>
      <c r="P149" s="1"/>
    </row>
    <row r="150" ht="12.75" customHeight="1">
      <c r="A150" s="1">
        <v>139.0</v>
      </c>
      <c r="B150" s="408">
        <f t="shared" si="5"/>
        <v>489357.75</v>
      </c>
      <c r="C150" s="408">
        <f t="shared" si="6"/>
        <v>194961.7291</v>
      </c>
      <c r="D150" s="408">
        <f t="shared" si="7"/>
        <v>294396.0208</v>
      </c>
      <c r="E150" s="176">
        <f t="shared" si="8"/>
        <v>84779813.04</v>
      </c>
      <c r="F150" s="408">
        <f t="shared" si="11"/>
        <v>32930773.9</v>
      </c>
      <c r="G150" s="408">
        <f t="shared" si="12"/>
        <v>68020727.24</v>
      </c>
      <c r="H150" s="410">
        <f>IF(K150&gt;='Pro Forma Detail'!D$66,'Pro Forma Detail'!D$67,'Debt ReFi'!$B$5)</f>
        <v>0.0275</v>
      </c>
      <c r="I150" s="1">
        <f t="shared" si="1"/>
        <v>139</v>
      </c>
      <c r="J150" s="406">
        <f t="shared" si="13"/>
        <v>49857</v>
      </c>
      <c r="K150" s="105">
        <f t="shared" si="9"/>
        <v>16</v>
      </c>
      <c r="L150" s="411">
        <f t="shared" si="10"/>
        <v>489357.75</v>
      </c>
      <c r="M150" s="407">
        <f t="shared" si="2"/>
        <v>294396.0208</v>
      </c>
      <c r="N150" s="407">
        <f t="shared" si="3"/>
        <v>194961.7291</v>
      </c>
      <c r="O150" s="407">
        <f t="shared" si="4"/>
        <v>84779813.04</v>
      </c>
      <c r="P150" s="1"/>
    </row>
    <row r="151" ht="12.75" customHeight="1">
      <c r="A151" s="1">
        <v>140.0</v>
      </c>
      <c r="B151" s="408">
        <f t="shared" si="5"/>
        <v>489357.75</v>
      </c>
      <c r="C151" s="408">
        <f t="shared" si="6"/>
        <v>194287.0716</v>
      </c>
      <c r="D151" s="408">
        <f t="shared" si="7"/>
        <v>295070.6784</v>
      </c>
      <c r="E151" s="176">
        <f t="shared" si="8"/>
        <v>84484742.37</v>
      </c>
      <c r="F151" s="408">
        <f t="shared" si="11"/>
        <v>33125060.97</v>
      </c>
      <c r="G151" s="408">
        <f t="shared" si="12"/>
        <v>68510084.99</v>
      </c>
      <c r="H151" s="410">
        <f>IF(K151&gt;='Pro Forma Detail'!D$66,'Pro Forma Detail'!D$67,'Debt ReFi'!$B$5)</f>
        <v>0.0275</v>
      </c>
      <c r="I151" s="1">
        <f t="shared" si="1"/>
        <v>140</v>
      </c>
      <c r="J151" s="406">
        <f t="shared" si="13"/>
        <v>49888</v>
      </c>
      <c r="K151" s="105">
        <f t="shared" si="9"/>
        <v>16</v>
      </c>
      <c r="L151" s="411">
        <f t="shared" si="10"/>
        <v>489357.75</v>
      </c>
      <c r="M151" s="407">
        <f t="shared" si="2"/>
        <v>295070.6784</v>
      </c>
      <c r="N151" s="407">
        <f t="shared" si="3"/>
        <v>194287.0716</v>
      </c>
      <c r="O151" s="407">
        <f t="shared" si="4"/>
        <v>84484742.37</v>
      </c>
      <c r="P151" s="1"/>
    </row>
    <row r="152" ht="12.75" customHeight="1">
      <c r="A152" s="1">
        <v>141.0</v>
      </c>
      <c r="B152" s="408">
        <f t="shared" si="5"/>
        <v>489357.75</v>
      </c>
      <c r="C152" s="408">
        <f t="shared" si="6"/>
        <v>193610.8679</v>
      </c>
      <c r="D152" s="408">
        <f t="shared" si="7"/>
        <v>295746.882</v>
      </c>
      <c r="E152" s="176">
        <f t="shared" si="8"/>
        <v>84188995.48</v>
      </c>
      <c r="F152" s="408">
        <f t="shared" si="11"/>
        <v>33318671.84</v>
      </c>
      <c r="G152" s="408">
        <f t="shared" si="12"/>
        <v>68999442.74</v>
      </c>
      <c r="H152" s="410">
        <f>IF(K152&gt;='Pro Forma Detail'!D$66,'Pro Forma Detail'!D$67,'Debt ReFi'!$B$5)</f>
        <v>0.0275</v>
      </c>
      <c r="I152" s="1">
        <f t="shared" si="1"/>
        <v>141</v>
      </c>
      <c r="J152" s="406">
        <f t="shared" si="13"/>
        <v>49919</v>
      </c>
      <c r="K152" s="105">
        <f t="shared" si="9"/>
        <v>16</v>
      </c>
      <c r="L152" s="411">
        <f t="shared" si="10"/>
        <v>489357.75</v>
      </c>
      <c r="M152" s="407">
        <f t="shared" si="2"/>
        <v>295746.882</v>
      </c>
      <c r="N152" s="407">
        <f t="shared" si="3"/>
        <v>193610.8679</v>
      </c>
      <c r="O152" s="407">
        <f t="shared" si="4"/>
        <v>84188995.48</v>
      </c>
      <c r="P152" s="1"/>
    </row>
    <row r="153" ht="12.75" customHeight="1">
      <c r="A153" s="1">
        <v>142.0</v>
      </c>
      <c r="B153" s="408">
        <f t="shared" si="5"/>
        <v>489357.75</v>
      </c>
      <c r="C153" s="408">
        <f t="shared" si="6"/>
        <v>192933.1147</v>
      </c>
      <c r="D153" s="408">
        <f t="shared" si="7"/>
        <v>296424.6353</v>
      </c>
      <c r="E153" s="176">
        <f t="shared" si="8"/>
        <v>83892570.85</v>
      </c>
      <c r="F153" s="408">
        <f t="shared" si="11"/>
        <v>33511604.96</v>
      </c>
      <c r="G153" s="408">
        <f t="shared" si="12"/>
        <v>69488800.49</v>
      </c>
      <c r="H153" s="410">
        <f>IF(K153&gt;='Pro Forma Detail'!D$66,'Pro Forma Detail'!D$67,'Debt ReFi'!$B$5)</f>
        <v>0.0275</v>
      </c>
      <c r="I153" s="1">
        <f t="shared" si="1"/>
        <v>142</v>
      </c>
      <c r="J153" s="406">
        <f t="shared" si="13"/>
        <v>49949</v>
      </c>
      <c r="K153" s="105">
        <f t="shared" si="9"/>
        <v>16</v>
      </c>
      <c r="L153" s="411">
        <f t="shared" si="10"/>
        <v>489357.75</v>
      </c>
      <c r="M153" s="407">
        <f t="shared" si="2"/>
        <v>296424.6353</v>
      </c>
      <c r="N153" s="407">
        <f t="shared" si="3"/>
        <v>192933.1147</v>
      </c>
      <c r="O153" s="407">
        <f t="shared" si="4"/>
        <v>83892570.85</v>
      </c>
      <c r="P153" s="1"/>
    </row>
    <row r="154" ht="12.75" customHeight="1">
      <c r="A154" s="1">
        <v>143.0</v>
      </c>
      <c r="B154" s="408">
        <f t="shared" si="5"/>
        <v>489357.75</v>
      </c>
      <c r="C154" s="408">
        <f t="shared" si="6"/>
        <v>192253.8082</v>
      </c>
      <c r="D154" s="408">
        <f t="shared" si="7"/>
        <v>297103.9418</v>
      </c>
      <c r="E154" s="176">
        <f t="shared" si="8"/>
        <v>83595466.91</v>
      </c>
      <c r="F154" s="408">
        <f t="shared" si="11"/>
        <v>33703858.76</v>
      </c>
      <c r="G154" s="408">
        <f t="shared" si="12"/>
        <v>69978158.24</v>
      </c>
      <c r="H154" s="410">
        <f>IF(K154&gt;='Pro Forma Detail'!D$66,'Pro Forma Detail'!D$67,'Debt ReFi'!$B$5)</f>
        <v>0.0275</v>
      </c>
      <c r="I154" s="1">
        <f t="shared" si="1"/>
        <v>143</v>
      </c>
      <c r="J154" s="406">
        <f t="shared" si="13"/>
        <v>49980</v>
      </c>
      <c r="K154" s="105">
        <f t="shared" si="9"/>
        <v>16</v>
      </c>
      <c r="L154" s="411">
        <f t="shared" si="10"/>
        <v>489357.75</v>
      </c>
      <c r="M154" s="407">
        <f t="shared" si="2"/>
        <v>297103.9418</v>
      </c>
      <c r="N154" s="407">
        <f t="shared" si="3"/>
        <v>192253.8082</v>
      </c>
      <c r="O154" s="407">
        <f t="shared" si="4"/>
        <v>83595466.91</v>
      </c>
      <c r="P154" s="1"/>
    </row>
    <row r="155" ht="12.75" customHeight="1">
      <c r="A155" s="1">
        <v>144.0</v>
      </c>
      <c r="B155" s="408">
        <f t="shared" si="5"/>
        <v>489357.75</v>
      </c>
      <c r="C155" s="408">
        <f t="shared" si="6"/>
        <v>191572.945</v>
      </c>
      <c r="D155" s="408">
        <f t="shared" si="7"/>
        <v>297784.805</v>
      </c>
      <c r="E155" s="176">
        <f t="shared" si="8"/>
        <v>83297682.1</v>
      </c>
      <c r="F155" s="408">
        <f t="shared" si="11"/>
        <v>33895431.71</v>
      </c>
      <c r="G155" s="408">
        <f t="shared" si="12"/>
        <v>70467515.99</v>
      </c>
      <c r="H155" s="410">
        <f>IF(K155&gt;='Pro Forma Detail'!D$66,'Pro Forma Detail'!D$67,'Debt ReFi'!$B$5)</f>
        <v>0.0275</v>
      </c>
      <c r="I155" s="1">
        <f t="shared" si="1"/>
        <v>144</v>
      </c>
      <c r="J155" s="406">
        <f t="shared" si="13"/>
        <v>50010</v>
      </c>
      <c r="K155" s="105">
        <f t="shared" si="9"/>
        <v>16</v>
      </c>
      <c r="L155" s="411">
        <f t="shared" si="10"/>
        <v>489357.75</v>
      </c>
      <c r="M155" s="407">
        <f t="shared" si="2"/>
        <v>297784.805</v>
      </c>
      <c r="N155" s="407">
        <f t="shared" si="3"/>
        <v>191572.945</v>
      </c>
      <c r="O155" s="407">
        <f t="shared" si="4"/>
        <v>83297682.1</v>
      </c>
      <c r="P155" s="1"/>
    </row>
    <row r="156" ht="12.75" customHeight="1">
      <c r="A156" s="1">
        <v>145.0</v>
      </c>
      <c r="B156" s="408">
        <f t="shared" si="5"/>
        <v>489357.75</v>
      </c>
      <c r="C156" s="408">
        <f t="shared" si="6"/>
        <v>190890.5215</v>
      </c>
      <c r="D156" s="408">
        <f t="shared" si="7"/>
        <v>298467.2285</v>
      </c>
      <c r="E156" s="176">
        <f t="shared" si="8"/>
        <v>82999214.87</v>
      </c>
      <c r="F156" s="408">
        <f t="shared" si="11"/>
        <v>34086322.23</v>
      </c>
      <c r="G156" s="408">
        <f t="shared" si="12"/>
        <v>70956873.74</v>
      </c>
      <c r="H156" s="410">
        <f>IF(K156&gt;='Pro Forma Detail'!D$66,'Pro Forma Detail'!D$67,'Debt ReFi'!$B$5)</f>
        <v>0.0275</v>
      </c>
      <c r="I156" s="1">
        <f t="shared" si="1"/>
        <v>145</v>
      </c>
      <c r="J156" s="406">
        <f t="shared" si="13"/>
        <v>50041</v>
      </c>
      <c r="K156" s="105">
        <f t="shared" si="9"/>
        <v>17</v>
      </c>
      <c r="L156" s="411">
        <f t="shared" si="10"/>
        <v>489357.75</v>
      </c>
      <c r="M156" s="407">
        <f t="shared" si="2"/>
        <v>298467.2285</v>
      </c>
      <c r="N156" s="407">
        <f t="shared" si="3"/>
        <v>190890.5215</v>
      </c>
      <c r="O156" s="407">
        <f t="shared" si="4"/>
        <v>82999214.87</v>
      </c>
      <c r="P156" s="1"/>
    </row>
    <row r="157" ht="12.75" customHeight="1">
      <c r="A157" s="1">
        <v>146.0</v>
      </c>
      <c r="B157" s="408">
        <f t="shared" si="5"/>
        <v>489357.75</v>
      </c>
      <c r="C157" s="408">
        <f t="shared" si="6"/>
        <v>190206.5341</v>
      </c>
      <c r="D157" s="408">
        <f t="shared" si="7"/>
        <v>299151.2159</v>
      </c>
      <c r="E157" s="176">
        <f t="shared" si="8"/>
        <v>82700063.66</v>
      </c>
      <c r="F157" s="408">
        <f t="shared" si="11"/>
        <v>34276528.77</v>
      </c>
      <c r="G157" s="408">
        <f t="shared" si="12"/>
        <v>71446231.49</v>
      </c>
      <c r="H157" s="410">
        <f>IF(K157&gt;='Pro Forma Detail'!D$66,'Pro Forma Detail'!D$67,'Debt ReFi'!$B$5)</f>
        <v>0.0275</v>
      </c>
      <c r="I157" s="1">
        <f t="shared" si="1"/>
        <v>146</v>
      </c>
      <c r="J157" s="406">
        <f t="shared" si="13"/>
        <v>50072</v>
      </c>
      <c r="K157" s="105">
        <f t="shared" si="9"/>
        <v>17</v>
      </c>
      <c r="L157" s="411">
        <f t="shared" si="10"/>
        <v>489357.75</v>
      </c>
      <c r="M157" s="407">
        <f t="shared" si="2"/>
        <v>299151.2159</v>
      </c>
      <c r="N157" s="407">
        <f t="shared" si="3"/>
        <v>190206.5341</v>
      </c>
      <c r="O157" s="407">
        <f t="shared" si="4"/>
        <v>82700063.66</v>
      </c>
      <c r="P157" s="1"/>
    </row>
    <row r="158" ht="12.75" customHeight="1">
      <c r="A158" s="1">
        <v>147.0</v>
      </c>
      <c r="B158" s="408">
        <f t="shared" si="5"/>
        <v>489357.75</v>
      </c>
      <c r="C158" s="408">
        <f t="shared" si="6"/>
        <v>189520.9792</v>
      </c>
      <c r="D158" s="408">
        <f t="shared" si="7"/>
        <v>299836.7707</v>
      </c>
      <c r="E158" s="176">
        <f t="shared" si="8"/>
        <v>82400226.89</v>
      </c>
      <c r="F158" s="408">
        <f t="shared" si="11"/>
        <v>34466049.74</v>
      </c>
      <c r="G158" s="408">
        <f t="shared" si="12"/>
        <v>71935589.24</v>
      </c>
      <c r="H158" s="410">
        <f>IF(K158&gt;='Pro Forma Detail'!D$66,'Pro Forma Detail'!D$67,'Debt ReFi'!$B$5)</f>
        <v>0.0275</v>
      </c>
      <c r="I158" s="1">
        <f t="shared" si="1"/>
        <v>147</v>
      </c>
      <c r="J158" s="406">
        <f t="shared" si="13"/>
        <v>50100</v>
      </c>
      <c r="K158" s="105">
        <f t="shared" si="9"/>
        <v>17</v>
      </c>
      <c r="L158" s="411">
        <f t="shared" si="10"/>
        <v>489357.75</v>
      </c>
      <c r="M158" s="407">
        <f t="shared" si="2"/>
        <v>299836.7707</v>
      </c>
      <c r="N158" s="407">
        <f t="shared" si="3"/>
        <v>189520.9792</v>
      </c>
      <c r="O158" s="407">
        <f t="shared" si="4"/>
        <v>82400226.89</v>
      </c>
      <c r="P158" s="1"/>
    </row>
    <row r="159" ht="12.75" customHeight="1">
      <c r="A159" s="1">
        <v>148.0</v>
      </c>
      <c r="B159" s="408">
        <f t="shared" si="5"/>
        <v>489357.75</v>
      </c>
      <c r="C159" s="408">
        <f t="shared" si="6"/>
        <v>188833.8533</v>
      </c>
      <c r="D159" s="408">
        <f t="shared" si="7"/>
        <v>300523.8967</v>
      </c>
      <c r="E159" s="176">
        <f t="shared" si="8"/>
        <v>82099702.99</v>
      </c>
      <c r="F159" s="408">
        <f t="shared" si="11"/>
        <v>34654883.6</v>
      </c>
      <c r="G159" s="408">
        <f t="shared" si="12"/>
        <v>72424946.99</v>
      </c>
      <c r="H159" s="410">
        <f>IF(K159&gt;='Pro Forma Detail'!D$66,'Pro Forma Detail'!D$67,'Debt ReFi'!$B$5)</f>
        <v>0.0275</v>
      </c>
      <c r="I159" s="1">
        <f t="shared" si="1"/>
        <v>148</v>
      </c>
      <c r="J159" s="406">
        <f t="shared" si="13"/>
        <v>50131</v>
      </c>
      <c r="K159" s="105">
        <f t="shared" si="9"/>
        <v>17</v>
      </c>
      <c r="L159" s="411">
        <f t="shared" si="10"/>
        <v>489357.75</v>
      </c>
      <c r="M159" s="407">
        <f t="shared" si="2"/>
        <v>300523.8967</v>
      </c>
      <c r="N159" s="407">
        <f t="shared" si="3"/>
        <v>188833.8533</v>
      </c>
      <c r="O159" s="407">
        <f t="shared" si="4"/>
        <v>82099702.99</v>
      </c>
      <c r="P159" s="1"/>
    </row>
    <row r="160" ht="12.75" customHeight="1">
      <c r="A160" s="1">
        <v>149.0</v>
      </c>
      <c r="B160" s="408">
        <f t="shared" si="5"/>
        <v>489357.75</v>
      </c>
      <c r="C160" s="408">
        <f t="shared" si="6"/>
        <v>188145.1527</v>
      </c>
      <c r="D160" s="408">
        <f t="shared" si="7"/>
        <v>301212.5973</v>
      </c>
      <c r="E160" s="176">
        <f t="shared" si="8"/>
        <v>81798490.39</v>
      </c>
      <c r="F160" s="408">
        <f t="shared" si="11"/>
        <v>34843028.75</v>
      </c>
      <c r="G160" s="408">
        <f t="shared" si="12"/>
        <v>72914304.74</v>
      </c>
      <c r="H160" s="410">
        <f>IF(K160&gt;='Pro Forma Detail'!D$66,'Pro Forma Detail'!D$67,'Debt ReFi'!$B$5)</f>
        <v>0.0275</v>
      </c>
      <c r="I160" s="1">
        <f t="shared" si="1"/>
        <v>149</v>
      </c>
      <c r="J160" s="406">
        <f t="shared" si="13"/>
        <v>50161</v>
      </c>
      <c r="K160" s="105">
        <f t="shared" si="9"/>
        <v>17</v>
      </c>
      <c r="L160" s="411">
        <f t="shared" si="10"/>
        <v>489357.75</v>
      </c>
      <c r="M160" s="407">
        <f t="shared" si="2"/>
        <v>301212.5973</v>
      </c>
      <c r="N160" s="407">
        <f t="shared" si="3"/>
        <v>188145.1527</v>
      </c>
      <c r="O160" s="407">
        <f t="shared" si="4"/>
        <v>81798490.39</v>
      </c>
      <c r="P160" s="1"/>
    </row>
    <row r="161" ht="12.75" customHeight="1">
      <c r="A161" s="1">
        <v>150.0</v>
      </c>
      <c r="B161" s="408">
        <f t="shared" si="5"/>
        <v>489357.75</v>
      </c>
      <c r="C161" s="408">
        <f t="shared" si="6"/>
        <v>187454.8738</v>
      </c>
      <c r="D161" s="408">
        <f t="shared" si="7"/>
        <v>301902.8761</v>
      </c>
      <c r="E161" s="176">
        <f t="shared" si="8"/>
        <v>81496587.52</v>
      </c>
      <c r="F161" s="408">
        <f t="shared" si="11"/>
        <v>35030483.62</v>
      </c>
      <c r="G161" s="408">
        <f t="shared" si="12"/>
        <v>73403662.49</v>
      </c>
      <c r="H161" s="410">
        <f>IF(K161&gt;='Pro Forma Detail'!D$66,'Pro Forma Detail'!D$67,'Debt ReFi'!$B$5)</f>
        <v>0.0275</v>
      </c>
      <c r="I161" s="1">
        <f t="shared" si="1"/>
        <v>150</v>
      </c>
      <c r="J161" s="406">
        <f t="shared" si="13"/>
        <v>50192</v>
      </c>
      <c r="K161" s="105">
        <f t="shared" si="9"/>
        <v>17</v>
      </c>
      <c r="L161" s="411">
        <f t="shared" si="10"/>
        <v>489357.75</v>
      </c>
      <c r="M161" s="407">
        <f t="shared" si="2"/>
        <v>301902.8761</v>
      </c>
      <c r="N161" s="407">
        <f t="shared" si="3"/>
        <v>187454.8738</v>
      </c>
      <c r="O161" s="407">
        <f t="shared" si="4"/>
        <v>81496587.52</v>
      </c>
      <c r="P161" s="1"/>
    </row>
    <row r="162" ht="12.75" customHeight="1">
      <c r="A162" s="1">
        <v>151.0</v>
      </c>
      <c r="B162" s="408">
        <f t="shared" si="5"/>
        <v>489357.75</v>
      </c>
      <c r="C162" s="408">
        <f t="shared" si="6"/>
        <v>186763.0131</v>
      </c>
      <c r="D162" s="408">
        <f t="shared" si="7"/>
        <v>302594.7369</v>
      </c>
      <c r="E162" s="176">
        <f t="shared" si="8"/>
        <v>81193992.78</v>
      </c>
      <c r="F162" s="408">
        <f t="shared" si="11"/>
        <v>35217246.64</v>
      </c>
      <c r="G162" s="408">
        <f t="shared" si="12"/>
        <v>73893020.24</v>
      </c>
      <c r="H162" s="410">
        <f>IF(K162&gt;='Pro Forma Detail'!D$66,'Pro Forma Detail'!D$67,'Debt ReFi'!$B$5)</f>
        <v>0.0275</v>
      </c>
      <c r="I162" s="1">
        <f t="shared" si="1"/>
        <v>151</v>
      </c>
      <c r="J162" s="406">
        <f t="shared" si="13"/>
        <v>50222</v>
      </c>
      <c r="K162" s="105">
        <f t="shared" si="9"/>
        <v>17</v>
      </c>
      <c r="L162" s="411">
        <f t="shared" si="10"/>
        <v>489357.75</v>
      </c>
      <c r="M162" s="407">
        <f t="shared" si="2"/>
        <v>302594.7369</v>
      </c>
      <c r="N162" s="407">
        <f t="shared" si="3"/>
        <v>186763.0131</v>
      </c>
      <c r="O162" s="407">
        <f t="shared" si="4"/>
        <v>81193992.78</v>
      </c>
      <c r="P162" s="1"/>
    </row>
    <row r="163" ht="12.75" customHeight="1">
      <c r="A163" s="1">
        <v>152.0</v>
      </c>
      <c r="B163" s="408">
        <f t="shared" si="5"/>
        <v>489357.75</v>
      </c>
      <c r="C163" s="408">
        <f t="shared" si="6"/>
        <v>186069.5668</v>
      </c>
      <c r="D163" s="408">
        <f t="shared" si="7"/>
        <v>303288.1832</v>
      </c>
      <c r="E163" s="176">
        <f t="shared" si="8"/>
        <v>80890704.6</v>
      </c>
      <c r="F163" s="408">
        <f t="shared" si="11"/>
        <v>35403316.2</v>
      </c>
      <c r="G163" s="408">
        <f t="shared" si="12"/>
        <v>74382377.99</v>
      </c>
      <c r="H163" s="410">
        <f>IF(K163&gt;='Pro Forma Detail'!D$66,'Pro Forma Detail'!D$67,'Debt ReFi'!$B$5)</f>
        <v>0.0275</v>
      </c>
      <c r="I163" s="1">
        <f t="shared" si="1"/>
        <v>152</v>
      </c>
      <c r="J163" s="406">
        <f t="shared" si="13"/>
        <v>50253</v>
      </c>
      <c r="K163" s="105">
        <f t="shared" si="9"/>
        <v>17</v>
      </c>
      <c r="L163" s="411">
        <f t="shared" si="10"/>
        <v>489357.75</v>
      </c>
      <c r="M163" s="407">
        <f t="shared" si="2"/>
        <v>303288.1832</v>
      </c>
      <c r="N163" s="407">
        <f t="shared" si="3"/>
        <v>186069.5668</v>
      </c>
      <c r="O163" s="407">
        <f t="shared" si="4"/>
        <v>80890704.6</v>
      </c>
      <c r="P163" s="1"/>
    </row>
    <row r="164" ht="12.75" customHeight="1">
      <c r="A164" s="1">
        <v>153.0</v>
      </c>
      <c r="B164" s="408">
        <f t="shared" si="5"/>
        <v>489357.75</v>
      </c>
      <c r="C164" s="408">
        <f t="shared" si="6"/>
        <v>185374.5314</v>
      </c>
      <c r="D164" s="408">
        <f t="shared" si="7"/>
        <v>303983.2186</v>
      </c>
      <c r="E164" s="176">
        <f t="shared" si="8"/>
        <v>80586721.38</v>
      </c>
      <c r="F164" s="408">
        <f t="shared" si="11"/>
        <v>35588690.74</v>
      </c>
      <c r="G164" s="408">
        <f t="shared" si="12"/>
        <v>74871735.74</v>
      </c>
      <c r="H164" s="410">
        <f>IF(K164&gt;='Pro Forma Detail'!D$66,'Pro Forma Detail'!D$67,'Debt ReFi'!$B$5)</f>
        <v>0.0275</v>
      </c>
      <c r="I164" s="1">
        <f t="shared" si="1"/>
        <v>153</v>
      </c>
      <c r="J164" s="406">
        <f t="shared" si="13"/>
        <v>50284</v>
      </c>
      <c r="K164" s="105">
        <f t="shared" si="9"/>
        <v>17</v>
      </c>
      <c r="L164" s="411">
        <f t="shared" si="10"/>
        <v>489357.75</v>
      </c>
      <c r="M164" s="407">
        <f t="shared" si="2"/>
        <v>303983.2186</v>
      </c>
      <c r="N164" s="407">
        <f t="shared" si="3"/>
        <v>185374.5314</v>
      </c>
      <c r="O164" s="407">
        <f t="shared" si="4"/>
        <v>80586721.38</v>
      </c>
      <c r="P164" s="1"/>
    </row>
    <row r="165" ht="12.75" customHeight="1">
      <c r="A165" s="1">
        <v>154.0</v>
      </c>
      <c r="B165" s="408">
        <f t="shared" si="5"/>
        <v>489357.75</v>
      </c>
      <c r="C165" s="408">
        <f t="shared" si="6"/>
        <v>184677.9032</v>
      </c>
      <c r="D165" s="408">
        <f t="shared" si="7"/>
        <v>304679.8468</v>
      </c>
      <c r="E165" s="176">
        <f t="shared" si="8"/>
        <v>80282041.53</v>
      </c>
      <c r="F165" s="408">
        <f t="shared" si="11"/>
        <v>35773368.64</v>
      </c>
      <c r="G165" s="408">
        <f t="shared" si="12"/>
        <v>75361093.49</v>
      </c>
      <c r="H165" s="410">
        <f>IF(K165&gt;='Pro Forma Detail'!D$66,'Pro Forma Detail'!D$67,'Debt ReFi'!$B$5)</f>
        <v>0.0275</v>
      </c>
      <c r="I165" s="1">
        <f t="shared" si="1"/>
        <v>154</v>
      </c>
      <c r="J165" s="406">
        <f t="shared" si="13"/>
        <v>50314</v>
      </c>
      <c r="K165" s="105">
        <f t="shared" si="9"/>
        <v>17</v>
      </c>
      <c r="L165" s="411">
        <f t="shared" si="10"/>
        <v>489357.75</v>
      </c>
      <c r="M165" s="407">
        <f t="shared" si="2"/>
        <v>304679.8468</v>
      </c>
      <c r="N165" s="407">
        <f t="shared" si="3"/>
        <v>184677.9032</v>
      </c>
      <c r="O165" s="407">
        <f t="shared" si="4"/>
        <v>80282041.53</v>
      </c>
      <c r="P165" s="1"/>
    </row>
    <row r="166" ht="12.75" customHeight="1">
      <c r="A166" s="1">
        <v>155.0</v>
      </c>
      <c r="B166" s="408">
        <f t="shared" si="5"/>
        <v>489357.75</v>
      </c>
      <c r="C166" s="408">
        <f t="shared" si="6"/>
        <v>183979.6785</v>
      </c>
      <c r="D166" s="408">
        <f t="shared" si="7"/>
        <v>305378.0714</v>
      </c>
      <c r="E166" s="176">
        <f t="shared" si="8"/>
        <v>79976663.46</v>
      </c>
      <c r="F166" s="408">
        <f t="shared" si="11"/>
        <v>35957348.32</v>
      </c>
      <c r="G166" s="408">
        <f t="shared" si="12"/>
        <v>75850451.24</v>
      </c>
      <c r="H166" s="410">
        <f>IF(K166&gt;='Pro Forma Detail'!D$66,'Pro Forma Detail'!D$67,'Debt ReFi'!$B$5)</f>
        <v>0.0275</v>
      </c>
      <c r="I166" s="1">
        <f t="shared" si="1"/>
        <v>155</v>
      </c>
      <c r="J166" s="406">
        <f t="shared" si="13"/>
        <v>50345</v>
      </c>
      <c r="K166" s="105">
        <f t="shared" si="9"/>
        <v>17</v>
      </c>
      <c r="L166" s="411">
        <f t="shared" si="10"/>
        <v>489357.75</v>
      </c>
      <c r="M166" s="407">
        <f t="shared" si="2"/>
        <v>305378.0714</v>
      </c>
      <c r="N166" s="407">
        <f t="shared" si="3"/>
        <v>183979.6785</v>
      </c>
      <c r="O166" s="407">
        <f t="shared" si="4"/>
        <v>79976663.46</v>
      </c>
      <c r="P166" s="1"/>
    </row>
    <row r="167" ht="12.75" customHeight="1">
      <c r="A167" s="1">
        <v>156.0</v>
      </c>
      <c r="B167" s="408">
        <f t="shared" si="5"/>
        <v>489357.75</v>
      </c>
      <c r="C167" s="408">
        <f t="shared" si="6"/>
        <v>183279.8538</v>
      </c>
      <c r="D167" s="408">
        <f t="shared" si="7"/>
        <v>306077.8962</v>
      </c>
      <c r="E167" s="176">
        <f t="shared" si="8"/>
        <v>79670585.56</v>
      </c>
      <c r="F167" s="408">
        <f t="shared" si="11"/>
        <v>36140628.17</v>
      </c>
      <c r="G167" s="408">
        <f t="shared" si="12"/>
        <v>76339808.99</v>
      </c>
      <c r="H167" s="410">
        <f>IF(K167&gt;='Pro Forma Detail'!D$66,'Pro Forma Detail'!D$67,'Debt ReFi'!$B$5)</f>
        <v>0.0275</v>
      </c>
      <c r="I167" s="1">
        <f t="shared" si="1"/>
        <v>156</v>
      </c>
      <c r="J167" s="406">
        <f t="shared" si="13"/>
        <v>50375</v>
      </c>
      <c r="K167" s="105">
        <f t="shared" si="9"/>
        <v>17</v>
      </c>
      <c r="L167" s="411">
        <f t="shared" si="10"/>
        <v>489357.75</v>
      </c>
      <c r="M167" s="407">
        <f t="shared" si="2"/>
        <v>306077.8962</v>
      </c>
      <c r="N167" s="407">
        <f t="shared" si="3"/>
        <v>183279.8538</v>
      </c>
      <c r="O167" s="407">
        <f t="shared" si="4"/>
        <v>79670585.56</v>
      </c>
      <c r="P167" s="1"/>
    </row>
    <row r="168" ht="12.75" customHeight="1">
      <c r="A168" s="1">
        <v>157.0</v>
      </c>
      <c r="B168" s="408">
        <f t="shared" si="5"/>
        <v>489357.75</v>
      </c>
      <c r="C168" s="408">
        <f t="shared" si="6"/>
        <v>182578.4253</v>
      </c>
      <c r="D168" s="408">
        <f t="shared" si="7"/>
        <v>306779.3247</v>
      </c>
      <c r="E168" s="176">
        <f t="shared" si="8"/>
        <v>79363806.24</v>
      </c>
      <c r="F168" s="408">
        <f t="shared" si="11"/>
        <v>36323206.6</v>
      </c>
      <c r="G168" s="408">
        <f t="shared" si="12"/>
        <v>76829166.74</v>
      </c>
      <c r="H168" s="410">
        <f>IF(K168&gt;='Pro Forma Detail'!D$66,'Pro Forma Detail'!D$67,'Debt ReFi'!$B$5)</f>
        <v>0.0275</v>
      </c>
      <c r="I168" s="1">
        <f t="shared" si="1"/>
        <v>157</v>
      </c>
      <c r="J168" s="406">
        <f t="shared" si="13"/>
        <v>50406</v>
      </c>
      <c r="K168" s="105">
        <f t="shared" si="9"/>
        <v>18</v>
      </c>
      <c r="L168" s="411">
        <f t="shared" si="10"/>
        <v>489357.75</v>
      </c>
      <c r="M168" s="407">
        <f t="shared" si="2"/>
        <v>306779.3247</v>
      </c>
      <c r="N168" s="407">
        <f t="shared" si="3"/>
        <v>182578.4253</v>
      </c>
      <c r="O168" s="407">
        <f t="shared" si="4"/>
        <v>79363806.24</v>
      </c>
      <c r="P168" s="1"/>
    </row>
    <row r="169" ht="12.75" customHeight="1">
      <c r="A169" s="1">
        <v>158.0</v>
      </c>
      <c r="B169" s="408">
        <f t="shared" si="5"/>
        <v>489357.75</v>
      </c>
      <c r="C169" s="408">
        <f t="shared" si="6"/>
        <v>181875.3893</v>
      </c>
      <c r="D169" s="408">
        <f t="shared" si="7"/>
        <v>307482.3607</v>
      </c>
      <c r="E169" s="176">
        <f t="shared" si="8"/>
        <v>79056323.88</v>
      </c>
      <c r="F169" s="408">
        <f t="shared" si="11"/>
        <v>36505081.99</v>
      </c>
      <c r="G169" s="408">
        <f t="shared" si="12"/>
        <v>77318524.49</v>
      </c>
      <c r="H169" s="410">
        <f>IF(K169&gt;='Pro Forma Detail'!D$66,'Pro Forma Detail'!D$67,'Debt ReFi'!$B$5)</f>
        <v>0.0275</v>
      </c>
      <c r="I169" s="1">
        <f t="shared" si="1"/>
        <v>158</v>
      </c>
      <c r="J169" s="406">
        <f t="shared" si="13"/>
        <v>50437</v>
      </c>
      <c r="K169" s="105">
        <f t="shared" si="9"/>
        <v>18</v>
      </c>
      <c r="L169" s="411">
        <f t="shared" si="10"/>
        <v>489357.75</v>
      </c>
      <c r="M169" s="407">
        <f t="shared" si="2"/>
        <v>307482.3607</v>
      </c>
      <c r="N169" s="407">
        <f t="shared" si="3"/>
        <v>181875.3893</v>
      </c>
      <c r="O169" s="407">
        <f t="shared" si="4"/>
        <v>79056323.88</v>
      </c>
      <c r="P169" s="1"/>
    </row>
    <row r="170" ht="12.75" customHeight="1">
      <c r="A170" s="1">
        <v>159.0</v>
      </c>
      <c r="B170" s="408">
        <f t="shared" si="5"/>
        <v>489357.75</v>
      </c>
      <c r="C170" s="408">
        <f t="shared" si="6"/>
        <v>181170.7422</v>
      </c>
      <c r="D170" s="408">
        <f t="shared" si="7"/>
        <v>308187.0077</v>
      </c>
      <c r="E170" s="176">
        <f t="shared" si="8"/>
        <v>78748136.87</v>
      </c>
      <c r="F170" s="408">
        <f t="shared" si="11"/>
        <v>36686252.73</v>
      </c>
      <c r="G170" s="408">
        <f t="shared" si="12"/>
        <v>77807882.24</v>
      </c>
      <c r="H170" s="410">
        <f>IF(K170&gt;='Pro Forma Detail'!D$66,'Pro Forma Detail'!D$67,'Debt ReFi'!$B$5)</f>
        <v>0.0275</v>
      </c>
      <c r="I170" s="1">
        <f t="shared" si="1"/>
        <v>159</v>
      </c>
      <c r="J170" s="406">
        <f t="shared" si="13"/>
        <v>50465</v>
      </c>
      <c r="K170" s="105">
        <f t="shared" si="9"/>
        <v>18</v>
      </c>
      <c r="L170" s="411">
        <f t="shared" si="10"/>
        <v>489357.75</v>
      </c>
      <c r="M170" s="407">
        <f t="shared" si="2"/>
        <v>308187.0077</v>
      </c>
      <c r="N170" s="407">
        <f t="shared" si="3"/>
        <v>181170.7422</v>
      </c>
      <c r="O170" s="407">
        <f t="shared" si="4"/>
        <v>78748136.87</v>
      </c>
      <c r="P170" s="1"/>
    </row>
    <row r="171" ht="12.75" customHeight="1">
      <c r="A171" s="1">
        <v>160.0</v>
      </c>
      <c r="B171" s="408">
        <f t="shared" si="5"/>
        <v>489357.75</v>
      </c>
      <c r="C171" s="408">
        <f t="shared" si="6"/>
        <v>180464.4803</v>
      </c>
      <c r="D171" s="408">
        <f t="shared" si="7"/>
        <v>308893.2696</v>
      </c>
      <c r="E171" s="176">
        <f t="shared" si="8"/>
        <v>78439243.6</v>
      </c>
      <c r="F171" s="408">
        <f t="shared" si="11"/>
        <v>36866717.21</v>
      </c>
      <c r="G171" s="408">
        <f t="shared" si="12"/>
        <v>78297239.99</v>
      </c>
      <c r="H171" s="410">
        <f>IF(K171&gt;='Pro Forma Detail'!D$66,'Pro Forma Detail'!D$67,'Debt ReFi'!$B$5)</f>
        <v>0.0275</v>
      </c>
      <c r="I171" s="1">
        <f t="shared" si="1"/>
        <v>160</v>
      </c>
      <c r="J171" s="406">
        <f t="shared" si="13"/>
        <v>50496</v>
      </c>
      <c r="K171" s="105">
        <f t="shared" si="9"/>
        <v>18</v>
      </c>
      <c r="L171" s="411">
        <f t="shared" si="10"/>
        <v>489357.75</v>
      </c>
      <c r="M171" s="407">
        <f t="shared" si="2"/>
        <v>308893.2696</v>
      </c>
      <c r="N171" s="407">
        <f t="shared" si="3"/>
        <v>180464.4803</v>
      </c>
      <c r="O171" s="407">
        <f t="shared" si="4"/>
        <v>78439243.6</v>
      </c>
      <c r="P171" s="1"/>
    </row>
    <row r="172" ht="12.75" customHeight="1">
      <c r="A172" s="1">
        <v>161.0</v>
      </c>
      <c r="B172" s="408">
        <f t="shared" si="5"/>
        <v>489357.75</v>
      </c>
      <c r="C172" s="408">
        <f t="shared" si="6"/>
        <v>179756.5999</v>
      </c>
      <c r="D172" s="408">
        <f t="shared" si="7"/>
        <v>309601.15</v>
      </c>
      <c r="E172" s="176">
        <f t="shared" si="8"/>
        <v>78129642.45</v>
      </c>
      <c r="F172" s="408">
        <f t="shared" si="11"/>
        <v>37046473.81</v>
      </c>
      <c r="G172" s="408">
        <f t="shared" si="12"/>
        <v>78786597.74</v>
      </c>
      <c r="H172" s="410">
        <f>IF(K172&gt;='Pro Forma Detail'!D$66,'Pro Forma Detail'!D$67,'Debt ReFi'!$B$5)</f>
        <v>0.0275</v>
      </c>
      <c r="I172" s="1">
        <f t="shared" si="1"/>
        <v>161</v>
      </c>
      <c r="J172" s="406">
        <f t="shared" si="13"/>
        <v>50526</v>
      </c>
      <c r="K172" s="105">
        <f t="shared" si="9"/>
        <v>18</v>
      </c>
      <c r="L172" s="411">
        <f t="shared" si="10"/>
        <v>489357.75</v>
      </c>
      <c r="M172" s="407">
        <f t="shared" si="2"/>
        <v>309601.15</v>
      </c>
      <c r="N172" s="407">
        <f t="shared" si="3"/>
        <v>179756.5999</v>
      </c>
      <c r="O172" s="407">
        <f t="shared" si="4"/>
        <v>78129642.45</v>
      </c>
      <c r="P172" s="1"/>
    </row>
    <row r="173" ht="12.75" customHeight="1">
      <c r="A173" s="1">
        <v>162.0</v>
      </c>
      <c r="B173" s="408">
        <f t="shared" si="5"/>
        <v>489357.75</v>
      </c>
      <c r="C173" s="408">
        <f t="shared" si="6"/>
        <v>179047.0973</v>
      </c>
      <c r="D173" s="408">
        <f t="shared" si="7"/>
        <v>310310.6527</v>
      </c>
      <c r="E173" s="176">
        <f t="shared" si="8"/>
        <v>77819331.8</v>
      </c>
      <c r="F173" s="408">
        <f t="shared" si="11"/>
        <v>37225520.91</v>
      </c>
      <c r="G173" s="408">
        <f t="shared" si="12"/>
        <v>79275955.49</v>
      </c>
      <c r="H173" s="410">
        <f>IF(K173&gt;='Pro Forma Detail'!D$66,'Pro Forma Detail'!D$67,'Debt ReFi'!$B$5)</f>
        <v>0.0275</v>
      </c>
      <c r="I173" s="1">
        <f t="shared" si="1"/>
        <v>162</v>
      </c>
      <c r="J173" s="406">
        <f t="shared" si="13"/>
        <v>50557</v>
      </c>
      <c r="K173" s="105">
        <f t="shared" si="9"/>
        <v>18</v>
      </c>
      <c r="L173" s="411">
        <f t="shared" si="10"/>
        <v>489357.75</v>
      </c>
      <c r="M173" s="407">
        <f t="shared" si="2"/>
        <v>310310.6527</v>
      </c>
      <c r="N173" s="407">
        <f t="shared" si="3"/>
        <v>179047.0973</v>
      </c>
      <c r="O173" s="407">
        <f t="shared" si="4"/>
        <v>77819331.8</v>
      </c>
      <c r="P173" s="1"/>
    </row>
    <row r="174" ht="12.75" customHeight="1">
      <c r="A174" s="1">
        <v>163.0</v>
      </c>
      <c r="B174" s="408">
        <f t="shared" si="5"/>
        <v>489357.75</v>
      </c>
      <c r="C174" s="408">
        <f t="shared" si="6"/>
        <v>178335.9687</v>
      </c>
      <c r="D174" s="408">
        <f t="shared" si="7"/>
        <v>311021.7813</v>
      </c>
      <c r="E174" s="176">
        <f t="shared" si="8"/>
        <v>77508310.02</v>
      </c>
      <c r="F174" s="408">
        <f t="shared" si="11"/>
        <v>37403856.87</v>
      </c>
      <c r="G174" s="408">
        <f t="shared" si="12"/>
        <v>79765313.24</v>
      </c>
      <c r="H174" s="410">
        <f>IF(K174&gt;='Pro Forma Detail'!D$66,'Pro Forma Detail'!D$67,'Debt ReFi'!$B$5)</f>
        <v>0.0275</v>
      </c>
      <c r="I174" s="1">
        <f t="shared" si="1"/>
        <v>163</v>
      </c>
      <c r="J174" s="406">
        <f t="shared" si="13"/>
        <v>50587</v>
      </c>
      <c r="K174" s="105">
        <f t="shared" si="9"/>
        <v>18</v>
      </c>
      <c r="L174" s="411">
        <f t="shared" si="10"/>
        <v>489357.75</v>
      </c>
      <c r="M174" s="407">
        <f t="shared" si="2"/>
        <v>311021.7813</v>
      </c>
      <c r="N174" s="407">
        <f t="shared" si="3"/>
        <v>178335.9687</v>
      </c>
      <c r="O174" s="407">
        <f t="shared" si="4"/>
        <v>77508310.02</v>
      </c>
      <c r="P174" s="1"/>
    </row>
    <row r="175" ht="12.75" customHeight="1">
      <c r="A175" s="1">
        <v>164.0</v>
      </c>
      <c r="B175" s="408">
        <f t="shared" si="5"/>
        <v>489357.75</v>
      </c>
      <c r="C175" s="408">
        <f t="shared" si="6"/>
        <v>177623.2105</v>
      </c>
      <c r="D175" s="408">
        <f t="shared" si="7"/>
        <v>311734.5395</v>
      </c>
      <c r="E175" s="176">
        <f t="shared" si="8"/>
        <v>77196575.48</v>
      </c>
      <c r="F175" s="408">
        <f t="shared" si="11"/>
        <v>37581480.08</v>
      </c>
      <c r="G175" s="408">
        <f t="shared" si="12"/>
        <v>80254670.99</v>
      </c>
      <c r="H175" s="410">
        <f>IF(K175&gt;='Pro Forma Detail'!D$66,'Pro Forma Detail'!D$67,'Debt ReFi'!$B$5)</f>
        <v>0.0275</v>
      </c>
      <c r="I175" s="1">
        <f t="shared" si="1"/>
        <v>164</v>
      </c>
      <c r="J175" s="406">
        <f t="shared" si="13"/>
        <v>50618</v>
      </c>
      <c r="K175" s="105">
        <f t="shared" si="9"/>
        <v>18</v>
      </c>
      <c r="L175" s="411">
        <f t="shared" si="10"/>
        <v>489357.75</v>
      </c>
      <c r="M175" s="407">
        <f t="shared" si="2"/>
        <v>311734.5395</v>
      </c>
      <c r="N175" s="407">
        <f t="shared" si="3"/>
        <v>177623.2105</v>
      </c>
      <c r="O175" s="407">
        <f t="shared" si="4"/>
        <v>77196575.48</v>
      </c>
      <c r="P175" s="1"/>
    </row>
    <row r="176" ht="12.75" customHeight="1">
      <c r="A176" s="1">
        <v>165.0</v>
      </c>
      <c r="B176" s="408">
        <f t="shared" si="5"/>
        <v>489357.75</v>
      </c>
      <c r="C176" s="408">
        <f t="shared" si="6"/>
        <v>176908.8188</v>
      </c>
      <c r="D176" s="408">
        <f t="shared" si="7"/>
        <v>312448.9312</v>
      </c>
      <c r="E176" s="176">
        <f t="shared" si="8"/>
        <v>76884126.55</v>
      </c>
      <c r="F176" s="408">
        <f t="shared" si="11"/>
        <v>37758388.9</v>
      </c>
      <c r="G176" s="408">
        <f t="shared" si="12"/>
        <v>80744028.74</v>
      </c>
      <c r="H176" s="410">
        <f>IF(K176&gt;='Pro Forma Detail'!D$66,'Pro Forma Detail'!D$67,'Debt ReFi'!$B$5)</f>
        <v>0.0275</v>
      </c>
      <c r="I176" s="1">
        <f t="shared" si="1"/>
        <v>165</v>
      </c>
      <c r="J176" s="406">
        <f t="shared" si="13"/>
        <v>50649</v>
      </c>
      <c r="K176" s="105">
        <f t="shared" si="9"/>
        <v>18</v>
      </c>
      <c r="L176" s="411">
        <f t="shared" si="10"/>
        <v>489357.75</v>
      </c>
      <c r="M176" s="407">
        <f t="shared" si="2"/>
        <v>312448.9312</v>
      </c>
      <c r="N176" s="407">
        <f t="shared" si="3"/>
        <v>176908.8188</v>
      </c>
      <c r="O176" s="407">
        <f t="shared" si="4"/>
        <v>76884126.55</v>
      </c>
      <c r="P176" s="1"/>
    </row>
    <row r="177" ht="12.75" customHeight="1">
      <c r="A177" s="1">
        <v>166.0</v>
      </c>
      <c r="B177" s="408">
        <f t="shared" si="5"/>
        <v>489357.75</v>
      </c>
      <c r="C177" s="408">
        <f t="shared" si="6"/>
        <v>176192.79</v>
      </c>
      <c r="D177" s="408">
        <f t="shared" si="7"/>
        <v>313164.96</v>
      </c>
      <c r="E177" s="176">
        <f t="shared" si="8"/>
        <v>76570961.59</v>
      </c>
      <c r="F177" s="408">
        <f t="shared" si="11"/>
        <v>37934581.69</v>
      </c>
      <c r="G177" s="408">
        <f t="shared" si="12"/>
        <v>81233386.49</v>
      </c>
      <c r="H177" s="410">
        <f>IF(K177&gt;='Pro Forma Detail'!D$66,'Pro Forma Detail'!D$67,'Debt ReFi'!$B$5)</f>
        <v>0.0275</v>
      </c>
      <c r="I177" s="1">
        <f t="shared" si="1"/>
        <v>166</v>
      </c>
      <c r="J177" s="406">
        <f t="shared" si="13"/>
        <v>50679</v>
      </c>
      <c r="K177" s="105">
        <f t="shared" si="9"/>
        <v>18</v>
      </c>
      <c r="L177" s="411">
        <f t="shared" si="10"/>
        <v>489357.75</v>
      </c>
      <c r="M177" s="407">
        <f t="shared" si="2"/>
        <v>313164.96</v>
      </c>
      <c r="N177" s="407">
        <f t="shared" si="3"/>
        <v>176192.79</v>
      </c>
      <c r="O177" s="407">
        <f t="shared" si="4"/>
        <v>76570961.59</v>
      </c>
      <c r="P177" s="1"/>
    </row>
    <row r="178" ht="12.75" customHeight="1">
      <c r="A178" s="1">
        <v>167.0</v>
      </c>
      <c r="B178" s="408">
        <f t="shared" si="5"/>
        <v>489357.75</v>
      </c>
      <c r="C178" s="408">
        <f t="shared" si="6"/>
        <v>175475.1203</v>
      </c>
      <c r="D178" s="408">
        <f t="shared" si="7"/>
        <v>313882.6297</v>
      </c>
      <c r="E178" s="176">
        <f t="shared" si="8"/>
        <v>76257078.96</v>
      </c>
      <c r="F178" s="408">
        <f t="shared" si="11"/>
        <v>38110056.81</v>
      </c>
      <c r="G178" s="408">
        <f t="shared" si="12"/>
        <v>81722744.24</v>
      </c>
      <c r="H178" s="410">
        <f>IF(K178&gt;='Pro Forma Detail'!D$66,'Pro Forma Detail'!D$67,'Debt ReFi'!$B$5)</f>
        <v>0.0275</v>
      </c>
      <c r="I178" s="1">
        <f t="shared" si="1"/>
        <v>167</v>
      </c>
      <c r="J178" s="406">
        <f t="shared" si="13"/>
        <v>50710</v>
      </c>
      <c r="K178" s="105">
        <f t="shared" si="9"/>
        <v>18</v>
      </c>
      <c r="L178" s="411">
        <f t="shared" si="10"/>
        <v>489357.75</v>
      </c>
      <c r="M178" s="407">
        <f t="shared" si="2"/>
        <v>313882.6297</v>
      </c>
      <c r="N178" s="407">
        <f t="shared" si="3"/>
        <v>175475.1203</v>
      </c>
      <c r="O178" s="407">
        <f t="shared" si="4"/>
        <v>76257078.96</v>
      </c>
      <c r="P178" s="1"/>
    </row>
    <row r="179" ht="12.75" customHeight="1">
      <c r="A179" s="1">
        <v>168.0</v>
      </c>
      <c r="B179" s="408">
        <f t="shared" si="5"/>
        <v>489357.75</v>
      </c>
      <c r="C179" s="408">
        <f t="shared" si="6"/>
        <v>174755.8059</v>
      </c>
      <c r="D179" s="408">
        <f t="shared" si="7"/>
        <v>314601.944</v>
      </c>
      <c r="E179" s="176">
        <f t="shared" si="8"/>
        <v>75942477.01</v>
      </c>
      <c r="F179" s="408">
        <f t="shared" si="11"/>
        <v>38284812.62</v>
      </c>
      <c r="G179" s="408">
        <f t="shared" si="12"/>
        <v>82212101.99</v>
      </c>
      <c r="H179" s="410">
        <f>IF(K179&gt;='Pro Forma Detail'!D$66,'Pro Forma Detail'!D$67,'Debt ReFi'!$B$5)</f>
        <v>0.0275</v>
      </c>
      <c r="I179" s="1">
        <f t="shared" si="1"/>
        <v>168</v>
      </c>
      <c r="J179" s="406">
        <f t="shared" si="13"/>
        <v>50740</v>
      </c>
      <c r="K179" s="105">
        <f t="shared" si="9"/>
        <v>18</v>
      </c>
      <c r="L179" s="411">
        <f t="shared" si="10"/>
        <v>489357.75</v>
      </c>
      <c r="M179" s="407">
        <f t="shared" si="2"/>
        <v>314601.944</v>
      </c>
      <c r="N179" s="407">
        <f t="shared" si="3"/>
        <v>174755.8059</v>
      </c>
      <c r="O179" s="407">
        <f t="shared" si="4"/>
        <v>75942477.01</v>
      </c>
      <c r="P179" s="1"/>
    </row>
    <row r="180" ht="12.75" customHeight="1">
      <c r="A180" s="1">
        <v>169.0</v>
      </c>
      <c r="B180" s="408">
        <f t="shared" si="5"/>
        <v>489357.75</v>
      </c>
      <c r="C180" s="408">
        <f t="shared" si="6"/>
        <v>174034.8432</v>
      </c>
      <c r="D180" s="408">
        <f t="shared" si="7"/>
        <v>315322.9068</v>
      </c>
      <c r="E180" s="176">
        <f t="shared" si="8"/>
        <v>75627154.11</v>
      </c>
      <c r="F180" s="408">
        <f t="shared" si="11"/>
        <v>38458847.46</v>
      </c>
      <c r="G180" s="408">
        <f t="shared" si="12"/>
        <v>82701459.74</v>
      </c>
      <c r="H180" s="410">
        <f>IF(K180&gt;='Pro Forma Detail'!D$66,'Pro Forma Detail'!D$67,'Debt ReFi'!$B$5)</f>
        <v>0.0275</v>
      </c>
      <c r="I180" s="1">
        <f t="shared" si="1"/>
        <v>169</v>
      </c>
      <c r="J180" s="406">
        <f t="shared" si="13"/>
        <v>50771</v>
      </c>
      <c r="K180" s="105">
        <f t="shared" si="9"/>
        <v>19</v>
      </c>
      <c r="L180" s="411">
        <f t="shared" si="10"/>
        <v>489357.75</v>
      </c>
      <c r="M180" s="407">
        <f t="shared" si="2"/>
        <v>315322.9068</v>
      </c>
      <c r="N180" s="407">
        <f t="shared" si="3"/>
        <v>174034.8432</v>
      </c>
      <c r="O180" s="407">
        <f t="shared" si="4"/>
        <v>75627154.11</v>
      </c>
      <c r="P180" s="1"/>
    </row>
    <row r="181" ht="12.75" customHeight="1">
      <c r="A181" s="1">
        <v>170.0</v>
      </c>
      <c r="B181" s="408">
        <f t="shared" si="5"/>
        <v>489357.75</v>
      </c>
      <c r="C181" s="408">
        <f t="shared" si="6"/>
        <v>173312.2282</v>
      </c>
      <c r="D181" s="408">
        <f t="shared" si="7"/>
        <v>316045.5218</v>
      </c>
      <c r="E181" s="176">
        <f t="shared" si="8"/>
        <v>75311108.58</v>
      </c>
      <c r="F181" s="408">
        <f t="shared" si="11"/>
        <v>38632159.69</v>
      </c>
      <c r="G181" s="408">
        <f t="shared" si="12"/>
        <v>83190817.49</v>
      </c>
      <c r="H181" s="410">
        <f>IF(K181&gt;='Pro Forma Detail'!D$66,'Pro Forma Detail'!D$67,'Debt ReFi'!$B$5)</f>
        <v>0.0275</v>
      </c>
      <c r="I181" s="1">
        <f t="shared" si="1"/>
        <v>170</v>
      </c>
      <c r="J181" s="406">
        <f t="shared" si="13"/>
        <v>50802</v>
      </c>
      <c r="K181" s="105">
        <f t="shared" si="9"/>
        <v>19</v>
      </c>
      <c r="L181" s="411">
        <f t="shared" si="10"/>
        <v>489357.75</v>
      </c>
      <c r="M181" s="407">
        <f t="shared" si="2"/>
        <v>316045.5218</v>
      </c>
      <c r="N181" s="407">
        <f t="shared" si="3"/>
        <v>173312.2282</v>
      </c>
      <c r="O181" s="407">
        <f t="shared" si="4"/>
        <v>75311108.58</v>
      </c>
      <c r="P181" s="1"/>
    </row>
    <row r="182" ht="12.75" customHeight="1">
      <c r="A182" s="1">
        <v>171.0</v>
      </c>
      <c r="B182" s="408">
        <f t="shared" si="5"/>
        <v>489357.75</v>
      </c>
      <c r="C182" s="408">
        <f t="shared" si="6"/>
        <v>172587.9572</v>
      </c>
      <c r="D182" s="408">
        <f t="shared" si="7"/>
        <v>316769.7928</v>
      </c>
      <c r="E182" s="176">
        <f t="shared" si="8"/>
        <v>74994338.79</v>
      </c>
      <c r="F182" s="408">
        <f t="shared" si="11"/>
        <v>38804747.65</v>
      </c>
      <c r="G182" s="408">
        <f t="shared" si="12"/>
        <v>83680175.24</v>
      </c>
      <c r="H182" s="410">
        <f>IF(K182&gt;='Pro Forma Detail'!D$66,'Pro Forma Detail'!D$67,'Debt ReFi'!$B$5)</f>
        <v>0.0275</v>
      </c>
      <c r="I182" s="1">
        <f t="shared" si="1"/>
        <v>171</v>
      </c>
      <c r="J182" s="406">
        <f t="shared" si="13"/>
        <v>50830</v>
      </c>
      <c r="K182" s="105">
        <f t="shared" si="9"/>
        <v>19</v>
      </c>
      <c r="L182" s="411">
        <f t="shared" si="10"/>
        <v>489357.75</v>
      </c>
      <c r="M182" s="407">
        <f t="shared" si="2"/>
        <v>316769.7928</v>
      </c>
      <c r="N182" s="407">
        <f t="shared" si="3"/>
        <v>172587.9572</v>
      </c>
      <c r="O182" s="407">
        <f t="shared" si="4"/>
        <v>74994338.79</v>
      </c>
      <c r="P182" s="1"/>
    </row>
    <row r="183" ht="12.75" customHeight="1">
      <c r="A183" s="1">
        <v>172.0</v>
      </c>
      <c r="B183" s="408">
        <f t="shared" si="5"/>
        <v>489357.75</v>
      </c>
      <c r="C183" s="408">
        <f t="shared" si="6"/>
        <v>171862.0264</v>
      </c>
      <c r="D183" s="408">
        <f t="shared" si="7"/>
        <v>317495.7236</v>
      </c>
      <c r="E183" s="176">
        <f t="shared" si="8"/>
        <v>74676843.07</v>
      </c>
      <c r="F183" s="408">
        <f t="shared" si="11"/>
        <v>38976609.67</v>
      </c>
      <c r="G183" s="408">
        <f t="shared" si="12"/>
        <v>84169532.99</v>
      </c>
      <c r="H183" s="410">
        <f>IF(K183&gt;='Pro Forma Detail'!D$66,'Pro Forma Detail'!D$67,'Debt ReFi'!$B$5)</f>
        <v>0.0275</v>
      </c>
      <c r="I183" s="1">
        <f t="shared" si="1"/>
        <v>172</v>
      </c>
      <c r="J183" s="406">
        <f t="shared" si="13"/>
        <v>50861</v>
      </c>
      <c r="K183" s="105">
        <f t="shared" si="9"/>
        <v>19</v>
      </c>
      <c r="L183" s="411">
        <f t="shared" si="10"/>
        <v>489357.75</v>
      </c>
      <c r="M183" s="407">
        <f t="shared" si="2"/>
        <v>317495.7236</v>
      </c>
      <c r="N183" s="407">
        <f t="shared" si="3"/>
        <v>171862.0264</v>
      </c>
      <c r="O183" s="407">
        <f t="shared" si="4"/>
        <v>74676843.07</v>
      </c>
      <c r="P183" s="1"/>
    </row>
    <row r="184" ht="12.75" customHeight="1">
      <c r="A184" s="1">
        <v>173.0</v>
      </c>
      <c r="B184" s="408">
        <f t="shared" si="5"/>
        <v>489357.75</v>
      </c>
      <c r="C184" s="408">
        <f t="shared" si="6"/>
        <v>171134.432</v>
      </c>
      <c r="D184" s="408">
        <f t="shared" si="7"/>
        <v>318223.3179</v>
      </c>
      <c r="E184" s="176">
        <f t="shared" si="8"/>
        <v>74358619.75</v>
      </c>
      <c r="F184" s="408">
        <f t="shared" si="11"/>
        <v>39147744.11</v>
      </c>
      <c r="G184" s="408">
        <f t="shared" si="12"/>
        <v>84658890.74</v>
      </c>
      <c r="H184" s="410">
        <f>IF(K184&gt;='Pro Forma Detail'!D$66,'Pro Forma Detail'!D$67,'Debt ReFi'!$B$5)</f>
        <v>0.0275</v>
      </c>
      <c r="I184" s="1">
        <f t="shared" si="1"/>
        <v>173</v>
      </c>
      <c r="J184" s="406">
        <f t="shared" si="13"/>
        <v>50891</v>
      </c>
      <c r="K184" s="105">
        <f t="shared" si="9"/>
        <v>19</v>
      </c>
      <c r="L184" s="411">
        <f t="shared" si="10"/>
        <v>489357.75</v>
      </c>
      <c r="M184" s="407">
        <f t="shared" si="2"/>
        <v>318223.3179</v>
      </c>
      <c r="N184" s="407">
        <f t="shared" si="3"/>
        <v>171134.432</v>
      </c>
      <c r="O184" s="407">
        <f t="shared" si="4"/>
        <v>74358619.75</v>
      </c>
      <c r="P184" s="1"/>
    </row>
    <row r="185" ht="12.75" customHeight="1">
      <c r="A185" s="1">
        <v>174.0</v>
      </c>
      <c r="B185" s="408">
        <f t="shared" si="5"/>
        <v>489357.75</v>
      </c>
      <c r="C185" s="408">
        <f t="shared" si="6"/>
        <v>170405.1703</v>
      </c>
      <c r="D185" s="408">
        <f t="shared" si="7"/>
        <v>318952.5797</v>
      </c>
      <c r="E185" s="176">
        <f t="shared" si="8"/>
        <v>74039667.17</v>
      </c>
      <c r="F185" s="408">
        <f t="shared" si="11"/>
        <v>39318149.28</v>
      </c>
      <c r="G185" s="408">
        <f t="shared" si="12"/>
        <v>85148248.49</v>
      </c>
      <c r="H185" s="410">
        <f>IF(K185&gt;='Pro Forma Detail'!D$66,'Pro Forma Detail'!D$67,'Debt ReFi'!$B$5)</f>
        <v>0.0275</v>
      </c>
      <c r="I185" s="1">
        <f t="shared" si="1"/>
        <v>174</v>
      </c>
      <c r="J185" s="406">
        <f t="shared" si="13"/>
        <v>50922</v>
      </c>
      <c r="K185" s="105">
        <f t="shared" si="9"/>
        <v>19</v>
      </c>
      <c r="L185" s="411">
        <f t="shared" si="10"/>
        <v>489357.75</v>
      </c>
      <c r="M185" s="407">
        <f t="shared" si="2"/>
        <v>318952.5797</v>
      </c>
      <c r="N185" s="407">
        <f t="shared" si="3"/>
        <v>170405.1703</v>
      </c>
      <c r="O185" s="407">
        <f t="shared" si="4"/>
        <v>74039667.17</v>
      </c>
      <c r="P185" s="1"/>
    </row>
    <row r="186" ht="12.75" customHeight="1">
      <c r="A186" s="1">
        <v>175.0</v>
      </c>
      <c r="B186" s="408">
        <f t="shared" si="5"/>
        <v>489357.75</v>
      </c>
      <c r="C186" s="408">
        <f t="shared" si="6"/>
        <v>169674.2373</v>
      </c>
      <c r="D186" s="408">
        <f t="shared" si="7"/>
        <v>319683.5127</v>
      </c>
      <c r="E186" s="176">
        <f t="shared" si="8"/>
        <v>73719983.66</v>
      </c>
      <c r="F186" s="408">
        <f t="shared" si="11"/>
        <v>39487823.51</v>
      </c>
      <c r="G186" s="408">
        <f t="shared" si="12"/>
        <v>85637606.24</v>
      </c>
      <c r="H186" s="410">
        <f>IF(K186&gt;='Pro Forma Detail'!D$66,'Pro Forma Detail'!D$67,'Debt ReFi'!$B$5)</f>
        <v>0.0275</v>
      </c>
      <c r="I186" s="1">
        <f t="shared" si="1"/>
        <v>175</v>
      </c>
      <c r="J186" s="406">
        <f t="shared" si="13"/>
        <v>50952</v>
      </c>
      <c r="K186" s="105">
        <f t="shared" si="9"/>
        <v>19</v>
      </c>
      <c r="L186" s="411">
        <f t="shared" si="10"/>
        <v>489357.75</v>
      </c>
      <c r="M186" s="407">
        <f t="shared" si="2"/>
        <v>319683.5127</v>
      </c>
      <c r="N186" s="407">
        <f t="shared" si="3"/>
        <v>169674.2373</v>
      </c>
      <c r="O186" s="407">
        <f t="shared" si="4"/>
        <v>73719983.66</v>
      </c>
      <c r="P186" s="1"/>
    </row>
    <row r="187" ht="12.75" customHeight="1">
      <c r="A187" s="1">
        <v>176.0</v>
      </c>
      <c r="B187" s="408">
        <f t="shared" si="5"/>
        <v>489357.75</v>
      </c>
      <c r="C187" s="408">
        <f t="shared" si="6"/>
        <v>168941.6292</v>
      </c>
      <c r="D187" s="408">
        <f t="shared" si="7"/>
        <v>320416.1207</v>
      </c>
      <c r="E187" s="176">
        <f t="shared" si="8"/>
        <v>73399567.54</v>
      </c>
      <c r="F187" s="408">
        <f t="shared" si="11"/>
        <v>39656765.14</v>
      </c>
      <c r="G187" s="408">
        <f t="shared" si="12"/>
        <v>86126963.99</v>
      </c>
      <c r="H187" s="410">
        <f>IF(K187&gt;='Pro Forma Detail'!D$66,'Pro Forma Detail'!D$67,'Debt ReFi'!$B$5)</f>
        <v>0.0275</v>
      </c>
      <c r="I187" s="1">
        <f t="shared" si="1"/>
        <v>176</v>
      </c>
      <c r="J187" s="406">
        <f t="shared" si="13"/>
        <v>50983</v>
      </c>
      <c r="K187" s="105">
        <f t="shared" si="9"/>
        <v>19</v>
      </c>
      <c r="L187" s="411">
        <f t="shared" si="10"/>
        <v>489357.75</v>
      </c>
      <c r="M187" s="407">
        <f t="shared" si="2"/>
        <v>320416.1207</v>
      </c>
      <c r="N187" s="407">
        <f t="shared" si="3"/>
        <v>168941.6292</v>
      </c>
      <c r="O187" s="407">
        <f t="shared" si="4"/>
        <v>73399567.54</v>
      </c>
      <c r="P187" s="1"/>
    </row>
    <row r="188" ht="12.75" customHeight="1">
      <c r="A188" s="1">
        <v>177.0</v>
      </c>
      <c r="B188" s="408">
        <f t="shared" si="5"/>
        <v>489357.75</v>
      </c>
      <c r="C188" s="408">
        <f t="shared" si="6"/>
        <v>168207.3423</v>
      </c>
      <c r="D188" s="408">
        <f t="shared" si="7"/>
        <v>321150.4077</v>
      </c>
      <c r="E188" s="176">
        <f t="shared" si="8"/>
        <v>73078417.13</v>
      </c>
      <c r="F188" s="408">
        <f t="shared" si="11"/>
        <v>39824972.49</v>
      </c>
      <c r="G188" s="408">
        <f t="shared" si="12"/>
        <v>86616321.74</v>
      </c>
      <c r="H188" s="410">
        <f>IF(K188&gt;='Pro Forma Detail'!D$66,'Pro Forma Detail'!D$67,'Debt ReFi'!$B$5)</f>
        <v>0.0275</v>
      </c>
      <c r="I188" s="1">
        <f t="shared" si="1"/>
        <v>177</v>
      </c>
      <c r="J188" s="406">
        <f t="shared" si="13"/>
        <v>51014</v>
      </c>
      <c r="K188" s="105">
        <f t="shared" si="9"/>
        <v>19</v>
      </c>
      <c r="L188" s="411">
        <f t="shared" si="10"/>
        <v>489357.75</v>
      </c>
      <c r="M188" s="407">
        <f t="shared" si="2"/>
        <v>321150.4077</v>
      </c>
      <c r="N188" s="407">
        <f t="shared" si="3"/>
        <v>168207.3423</v>
      </c>
      <c r="O188" s="407">
        <f t="shared" si="4"/>
        <v>73078417.13</v>
      </c>
      <c r="P188" s="1"/>
    </row>
    <row r="189" ht="12.75" customHeight="1">
      <c r="A189" s="1">
        <v>178.0</v>
      </c>
      <c r="B189" s="408">
        <f t="shared" si="5"/>
        <v>489357.75</v>
      </c>
      <c r="C189" s="408">
        <f t="shared" si="6"/>
        <v>167471.3726</v>
      </c>
      <c r="D189" s="408">
        <f t="shared" si="7"/>
        <v>321886.3774</v>
      </c>
      <c r="E189" s="176">
        <f t="shared" si="8"/>
        <v>72756530.75</v>
      </c>
      <c r="F189" s="408">
        <f t="shared" si="11"/>
        <v>39992443.86</v>
      </c>
      <c r="G189" s="408">
        <f t="shared" si="12"/>
        <v>87105679.49</v>
      </c>
      <c r="H189" s="410">
        <f>IF(K189&gt;='Pro Forma Detail'!D$66,'Pro Forma Detail'!D$67,'Debt ReFi'!$B$5)</f>
        <v>0.0275</v>
      </c>
      <c r="I189" s="1">
        <f t="shared" si="1"/>
        <v>178</v>
      </c>
      <c r="J189" s="406">
        <f t="shared" si="13"/>
        <v>51044</v>
      </c>
      <c r="K189" s="105">
        <f t="shared" si="9"/>
        <v>19</v>
      </c>
      <c r="L189" s="411">
        <f t="shared" si="10"/>
        <v>489357.75</v>
      </c>
      <c r="M189" s="407">
        <f t="shared" si="2"/>
        <v>321886.3774</v>
      </c>
      <c r="N189" s="407">
        <f t="shared" si="3"/>
        <v>167471.3726</v>
      </c>
      <c r="O189" s="407">
        <f t="shared" si="4"/>
        <v>72756530.75</v>
      </c>
      <c r="P189" s="1"/>
    </row>
    <row r="190" ht="12.75" customHeight="1">
      <c r="A190" s="1">
        <v>179.0</v>
      </c>
      <c r="B190" s="408">
        <f t="shared" si="5"/>
        <v>489357.75</v>
      </c>
      <c r="C190" s="408">
        <f t="shared" si="6"/>
        <v>166733.7163</v>
      </c>
      <c r="D190" s="408">
        <f t="shared" si="7"/>
        <v>322624.0337</v>
      </c>
      <c r="E190" s="176">
        <f t="shared" si="8"/>
        <v>72433906.72</v>
      </c>
      <c r="F190" s="408">
        <f t="shared" si="11"/>
        <v>40159177.57</v>
      </c>
      <c r="G190" s="408">
        <f t="shared" si="12"/>
        <v>87595037.24</v>
      </c>
      <c r="H190" s="410">
        <f>IF(K190&gt;='Pro Forma Detail'!D$66,'Pro Forma Detail'!D$67,'Debt ReFi'!$B$5)</f>
        <v>0.0275</v>
      </c>
      <c r="I190" s="1">
        <f t="shared" si="1"/>
        <v>179</v>
      </c>
      <c r="J190" s="406">
        <f t="shared" si="13"/>
        <v>51075</v>
      </c>
      <c r="K190" s="105">
        <f t="shared" si="9"/>
        <v>19</v>
      </c>
      <c r="L190" s="411">
        <f t="shared" si="10"/>
        <v>489357.75</v>
      </c>
      <c r="M190" s="407">
        <f t="shared" si="2"/>
        <v>322624.0337</v>
      </c>
      <c r="N190" s="407">
        <f t="shared" si="3"/>
        <v>166733.7163</v>
      </c>
      <c r="O190" s="407">
        <f t="shared" si="4"/>
        <v>72433906.72</v>
      </c>
      <c r="P190" s="1"/>
    </row>
    <row r="191" ht="12.75" customHeight="1">
      <c r="A191" s="1">
        <v>180.0</v>
      </c>
      <c r="B191" s="408">
        <f t="shared" si="5"/>
        <v>489357.75</v>
      </c>
      <c r="C191" s="408">
        <f t="shared" si="6"/>
        <v>165994.3696</v>
      </c>
      <c r="D191" s="408">
        <f t="shared" si="7"/>
        <v>323363.3804</v>
      </c>
      <c r="E191" s="176">
        <f t="shared" si="8"/>
        <v>72110543.34</v>
      </c>
      <c r="F191" s="408">
        <f t="shared" si="11"/>
        <v>40325171.94</v>
      </c>
      <c r="G191" s="408">
        <f t="shared" si="12"/>
        <v>88084394.99</v>
      </c>
      <c r="H191" s="410">
        <f>IF(K191&gt;='Pro Forma Detail'!D$66,'Pro Forma Detail'!D$67,'Debt ReFi'!$B$5)</f>
        <v>0.0275</v>
      </c>
      <c r="I191" s="1">
        <f t="shared" si="1"/>
        <v>180</v>
      </c>
      <c r="J191" s="406">
        <f t="shared" si="13"/>
        <v>51105</v>
      </c>
      <c r="K191" s="105">
        <f t="shared" si="9"/>
        <v>19</v>
      </c>
      <c r="L191" s="411">
        <f t="shared" si="10"/>
        <v>489357.75</v>
      </c>
      <c r="M191" s="407">
        <f t="shared" si="2"/>
        <v>323363.3804</v>
      </c>
      <c r="N191" s="407">
        <f t="shared" si="3"/>
        <v>165994.3696</v>
      </c>
      <c r="O191" s="407">
        <f t="shared" si="4"/>
        <v>72110543.34</v>
      </c>
      <c r="P191" s="1"/>
    </row>
    <row r="192" ht="12.75" customHeight="1">
      <c r="A192" s="1">
        <v>181.0</v>
      </c>
      <c r="B192" s="408">
        <f t="shared" si="5"/>
        <v>489357.75</v>
      </c>
      <c r="C192" s="408">
        <f t="shared" si="6"/>
        <v>165253.3285</v>
      </c>
      <c r="D192" s="408">
        <f t="shared" si="7"/>
        <v>324104.4215</v>
      </c>
      <c r="E192" s="176">
        <f t="shared" si="8"/>
        <v>71786438.92</v>
      </c>
      <c r="F192" s="408">
        <f t="shared" si="11"/>
        <v>40490425.27</v>
      </c>
      <c r="G192" s="408">
        <f t="shared" si="12"/>
        <v>88573752.74</v>
      </c>
      <c r="H192" s="410">
        <f>IF(K192&gt;='Pro Forma Detail'!D$66,'Pro Forma Detail'!D$67,'Debt ReFi'!$B$5)</f>
        <v>0.0275</v>
      </c>
      <c r="I192" s="1">
        <f t="shared" si="1"/>
        <v>181</v>
      </c>
      <c r="J192" s="406">
        <f t="shared" si="13"/>
        <v>51136</v>
      </c>
      <c r="K192" s="105">
        <f t="shared" si="9"/>
        <v>20</v>
      </c>
      <c r="L192" s="411">
        <f t="shared" si="10"/>
        <v>489357.75</v>
      </c>
      <c r="M192" s="407">
        <f t="shared" si="2"/>
        <v>324104.4215</v>
      </c>
      <c r="N192" s="407">
        <f t="shared" si="3"/>
        <v>165253.3285</v>
      </c>
      <c r="O192" s="407">
        <f t="shared" si="4"/>
        <v>71786438.92</v>
      </c>
      <c r="P192" s="1"/>
    </row>
    <row r="193" ht="12.75" customHeight="1">
      <c r="A193" s="1">
        <v>182.0</v>
      </c>
      <c r="B193" s="408">
        <f t="shared" si="5"/>
        <v>489357.75</v>
      </c>
      <c r="C193" s="408">
        <f t="shared" si="6"/>
        <v>164510.5892</v>
      </c>
      <c r="D193" s="408">
        <f t="shared" si="7"/>
        <v>324847.1608</v>
      </c>
      <c r="E193" s="176">
        <f t="shared" si="8"/>
        <v>71461591.76</v>
      </c>
      <c r="F193" s="408">
        <f t="shared" si="11"/>
        <v>40654935.86</v>
      </c>
      <c r="G193" s="408">
        <f t="shared" si="12"/>
        <v>89063110.49</v>
      </c>
      <c r="H193" s="410">
        <f>IF(K193&gt;='Pro Forma Detail'!D$66,'Pro Forma Detail'!D$67,'Debt ReFi'!$B$5)</f>
        <v>0.0275</v>
      </c>
      <c r="I193" s="1">
        <f t="shared" si="1"/>
        <v>182</v>
      </c>
      <c r="J193" s="406">
        <f t="shared" si="13"/>
        <v>51167</v>
      </c>
      <c r="K193" s="105">
        <f t="shared" si="9"/>
        <v>20</v>
      </c>
      <c r="L193" s="411">
        <f t="shared" si="10"/>
        <v>489357.75</v>
      </c>
      <c r="M193" s="407">
        <f t="shared" si="2"/>
        <v>324847.1608</v>
      </c>
      <c r="N193" s="407">
        <f t="shared" si="3"/>
        <v>164510.5892</v>
      </c>
      <c r="O193" s="407">
        <f t="shared" si="4"/>
        <v>71461591.76</v>
      </c>
      <c r="P193" s="1"/>
    </row>
    <row r="194" ht="12.75" customHeight="1">
      <c r="A194" s="1">
        <v>183.0</v>
      </c>
      <c r="B194" s="408">
        <f t="shared" si="5"/>
        <v>489357.75</v>
      </c>
      <c r="C194" s="408">
        <f t="shared" si="6"/>
        <v>163766.1478</v>
      </c>
      <c r="D194" s="408">
        <f t="shared" si="7"/>
        <v>325591.6022</v>
      </c>
      <c r="E194" s="176">
        <f t="shared" si="8"/>
        <v>71136000.15</v>
      </c>
      <c r="F194" s="408">
        <f t="shared" si="11"/>
        <v>40818702.01</v>
      </c>
      <c r="G194" s="408">
        <f t="shared" si="12"/>
        <v>89552468.24</v>
      </c>
      <c r="H194" s="410">
        <f>IF(K194&gt;='Pro Forma Detail'!D$66,'Pro Forma Detail'!D$67,'Debt ReFi'!$B$5)</f>
        <v>0.0275</v>
      </c>
      <c r="I194" s="1">
        <f t="shared" si="1"/>
        <v>183</v>
      </c>
      <c r="J194" s="406">
        <f t="shared" si="13"/>
        <v>51196</v>
      </c>
      <c r="K194" s="105">
        <f t="shared" si="9"/>
        <v>20</v>
      </c>
      <c r="L194" s="411">
        <f t="shared" si="10"/>
        <v>489357.75</v>
      </c>
      <c r="M194" s="407">
        <f t="shared" si="2"/>
        <v>325591.6022</v>
      </c>
      <c r="N194" s="407">
        <f t="shared" si="3"/>
        <v>163766.1478</v>
      </c>
      <c r="O194" s="407">
        <f t="shared" si="4"/>
        <v>71136000.15</v>
      </c>
      <c r="P194" s="1"/>
    </row>
    <row r="195" ht="12.75" customHeight="1">
      <c r="A195" s="1">
        <v>184.0</v>
      </c>
      <c r="B195" s="408">
        <f t="shared" si="5"/>
        <v>489357.75</v>
      </c>
      <c r="C195" s="408">
        <f t="shared" si="6"/>
        <v>163020.0004</v>
      </c>
      <c r="D195" s="408">
        <f t="shared" si="7"/>
        <v>326337.7496</v>
      </c>
      <c r="E195" s="176">
        <f t="shared" si="8"/>
        <v>70809662.4</v>
      </c>
      <c r="F195" s="408">
        <f t="shared" si="11"/>
        <v>40981722.01</v>
      </c>
      <c r="G195" s="408">
        <f t="shared" si="12"/>
        <v>90041825.99</v>
      </c>
      <c r="H195" s="410">
        <f>IF(K195&gt;='Pro Forma Detail'!D$66,'Pro Forma Detail'!D$67,'Debt ReFi'!$B$5)</f>
        <v>0.0275</v>
      </c>
      <c r="I195" s="1">
        <f t="shared" si="1"/>
        <v>184</v>
      </c>
      <c r="J195" s="406">
        <f t="shared" si="13"/>
        <v>51227</v>
      </c>
      <c r="K195" s="105">
        <f t="shared" si="9"/>
        <v>20</v>
      </c>
      <c r="L195" s="411">
        <f t="shared" si="10"/>
        <v>489357.75</v>
      </c>
      <c r="M195" s="407">
        <f t="shared" si="2"/>
        <v>326337.7496</v>
      </c>
      <c r="N195" s="407">
        <f t="shared" si="3"/>
        <v>163020.0004</v>
      </c>
      <c r="O195" s="407">
        <f t="shared" si="4"/>
        <v>70809662.4</v>
      </c>
      <c r="P195" s="1"/>
    </row>
    <row r="196" ht="12.75" customHeight="1">
      <c r="A196" s="1">
        <v>185.0</v>
      </c>
      <c r="B196" s="408">
        <f t="shared" si="5"/>
        <v>489357.75</v>
      </c>
      <c r="C196" s="408">
        <f t="shared" si="6"/>
        <v>162272.143</v>
      </c>
      <c r="D196" s="408">
        <f t="shared" si="7"/>
        <v>327085.6069</v>
      </c>
      <c r="E196" s="176">
        <f t="shared" si="8"/>
        <v>70482576.8</v>
      </c>
      <c r="F196" s="408">
        <f t="shared" si="11"/>
        <v>41143994.15</v>
      </c>
      <c r="G196" s="408">
        <f t="shared" si="12"/>
        <v>90531183.74</v>
      </c>
      <c r="H196" s="410">
        <f>IF(K196&gt;='Pro Forma Detail'!D$66,'Pro Forma Detail'!D$67,'Debt ReFi'!$B$5)</f>
        <v>0.0275</v>
      </c>
      <c r="I196" s="1">
        <f t="shared" si="1"/>
        <v>185</v>
      </c>
      <c r="J196" s="406">
        <f t="shared" si="13"/>
        <v>51257</v>
      </c>
      <c r="K196" s="105">
        <f t="shared" si="9"/>
        <v>20</v>
      </c>
      <c r="L196" s="411">
        <f t="shared" si="10"/>
        <v>489357.75</v>
      </c>
      <c r="M196" s="407">
        <f t="shared" si="2"/>
        <v>327085.6069</v>
      </c>
      <c r="N196" s="407">
        <f t="shared" si="3"/>
        <v>162272.143</v>
      </c>
      <c r="O196" s="407">
        <f t="shared" si="4"/>
        <v>70482576.8</v>
      </c>
      <c r="P196" s="1"/>
    </row>
    <row r="197" ht="12.75" customHeight="1">
      <c r="A197" s="1">
        <v>186.0</v>
      </c>
      <c r="B197" s="408">
        <f t="shared" si="5"/>
        <v>489357.75</v>
      </c>
      <c r="C197" s="408">
        <f t="shared" si="6"/>
        <v>161522.5718</v>
      </c>
      <c r="D197" s="408">
        <f t="shared" si="7"/>
        <v>327835.1781</v>
      </c>
      <c r="E197" s="176">
        <f t="shared" si="8"/>
        <v>70154741.62</v>
      </c>
      <c r="F197" s="408">
        <f t="shared" si="11"/>
        <v>41305516.72</v>
      </c>
      <c r="G197" s="408">
        <f t="shared" si="12"/>
        <v>91020541.49</v>
      </c>
      <c r="H197" s="410">
        <f>IF(K197&gt;='Pro Forma Detail'!D$66,'Pro Forma Detail'!D$67,'Debt ReFi'!$B$5)</f>
        <v>0.0275</v>
      </c>
      <c r="I197" s="1">
        <f t="shared" si="1"/>
        <v>186</v>
      </c>
      <c r="J197" s="406">
        <f t="shared" si="13"/>
        <v>51288</v>
      </c>
      <c r="K197" s="105">
        <f t="shared" si="9"/>
        <v>20</v>
      </c>
      <c r="L197" s="411">
        <f t="shared" si="10"/>
        <v>489357.75</v>
      </c>
      <c r="M197" s="407">
        <f t="shared" si="2"/>
        <v>327835.1781</v>
      </c>
      <c r="N197" s="407">
        <f t="shared" si="3"/>
        <v>161522.5718</v>
      </c>
      <c r="O197" s="407">
        <f t="shared" si="4"/>
        <v>70154741.62</v>
      </c>
      <c r="P197" s="1"/>
    </row>
    <row r="198" ht="12.75" customHeight="1">
      <c r="A198" s="1">
        <v>187.0</v>
      </c>
      <c r="B198" s="408">
        <f t="shared" si="5"/>
        <v>489357.75</v>
      </c>
      <c r="C198" s="408">
        <f t="shared" si="6"/>
        <v>160771.2829</v>
      </c>
      <c r="D198" s="408">
        <f t="shared" si="7"/>
        <v>328586.4671</v>
      </c>
      <c r="E198" s="176">
        <f t="shared" si="8"/>
        <v>69826155.15</v>
      </c>
      <c r="F198" s="408">
        <f t="shared" si="11"/>
        <v>41466288.01</v>
      </c>
      <c r="G198" s="408">
        <f t="shared" si="12"/>
        <v>91509899.24</v>
      </c>
      <c r="H198" s="410">
        <f>IF(K198&gt;='Pro Forma Detail'!D$66,'Pro Forma Detail'!D$67,'Debt ReFi'!$B$5)</f>
        <v>0.0275</v>
      </c>
      <c r="I198" s="1">
        <f t="shared" si="1"/>
        <v>187</v>
      </c>
      <c r="J198" s="406">
        <f t="shared" si="13"/>
        <v>51318</v>
      </c>
      <c r="K198" s="105">
        <f t="shared" si="9"/>
        <v>20</v>
      </c>
      <c r="L198" s="411">
        <f t="shared" si="10"/>
        <v>489357.75</v>
      </c>
      <c r="M198" s="407">
        <f t="shared" si="2"/>
        <v>328586.4671</v>
      </c>
      <c r="N198" s="407">
        <f t="shared" si="3"/>
        <v>160771.2829</v>
      </c>
      <c r="O198" s="407">
        <f t="shared" si="4"/>
        <v>69826155.15</v>
      </c>
      <c r="P198" s="1"/>
    </row>
    <row r="199" ht="12.75" customHeight="1">
      <c r="A199" s="1">
        <v>188.0</v>
      </c>
      <c r="B199" s="408">
        <f t="shared" si="5"/>
        <v>489357.75</v>
      </c>
      <c r="C199" s="408">
        <f t="shared" si="6"/>
        <v>160018.2722</v>
      </c>
      <c r="D199" s="408">
        <f t="shared" si="7"/>
        <v>329339.4777</v>
      </c>
      <c r="E199" s="176">
        <f t="shared" si="8"/>
        <v>69496815.67</v>
      </c>
      <c r="F199" s="408">
        <f t="shared" si="11"/>
        <v>41626306.28</v>
      </c>
      <c r="G199" s="408">
        <f t="shared" si="12"/>
        <v>91999256.99</v>
      </c>
      <c r="H199" s="410">
        <f>IF(K199&gt;='Pro Forma Detail'!D$66,'Pro Forma Detail'!D$67,'Debt ReFi'!$B$5)</f>
        <v>0.0275</v>
      </c>
      <c r="I199" s="1">
        <f t="shared" si="1"/>
        <v>188</v>
      </c>
      <c r="J199" s="406">
        <f t="shared" si="13"/>
        <v>51349</v>
      </c>
      <c r="K199" s="105">
        <f t="shared" si="9"/>
        <v>20</v>
      </c>
      <c r="L199" s="411">
        <f t="shared" si="10"/>
        <v>489357.75</v>
      </c>
      <c r="M199" s="407">
        <f t="shared" si="2"/>
        <v>329339.4777</v>
      </c>
      <c r="N199" s="407">
        <f t="shared" si="3"/>
        <v>160018.2722</v>
      </c>
      <c r="O199" s="407">
        <f t="shared" si="4"/>
        <v>69496815.67</v>
      </c>
      <c r="P199" s="1"/>
    </row>
    <row r="200" ht="12.75" customHeight="1">
      <c r="A200" s="1">
        <v>189.0</v>
      </c>
      <c r="B200" s="408">
        <f t="shared" si="5"/>
        <v>489357.75</v>
      </c>
      <c r="C200" s="408">
        <f t="shared" si="6"/>
        <v>159263.5359</v>
      </c>
      <c r="D200" s="408">
        <f t="shared" si="7"/>
        <v>330094.214</v>
      </c>
      <c r="E200" s="176">
        <f t="shared" si="8"/>
        <v>69166721.46</v>
      </c>
      <c r="F200" s="408">
        <f t="shared" si="11"/>
        <v>41785569.82</v>
      </c>
      <c r="G200" s="408">
        <f t="shared" si="12"/>
        <v>92488614.74</v>
      </c>
      <c r="H200" s="410">
        <f>IF(K200&gt;='Pro Forma Detail'!D$66,'Pro Forma Detail'!D$67,'Debt ReFi'!$B$5)</f>
        <v>0.0275</v>
      </c>
      <c r="I200" s="1">
        <f t="shared" si="1"/>
        <v>189</v>
      </c>
      <c r="J200" s="406">
        <f t="shared" si="13"/>
        <v>51380</v>
      </c>
      <c r="K200" s="105">
        <f t="shared" si="9"/>
        <v>20</v>
      </c>
      <c r="L200" s="411">
        <f t="shared" si="10"/>
        <v>489357.75</v>
      </c>
      <c r="M200" s="407">
        <f t="shared" si="2"/>
        <v>330094.214</v>
      </c>
      <c r="N200" s="407">
        <f t="shared" si="3"/>
        <v>159263.5359</v>
      </c>
      <c r="O200" s="407">
        <f t="shared" si="4"/>
        <v>69166721.46</v>
      </c>
      <c r="P200" s="1"/>
    </row>
    <row r="201" ht="12.75" customHeight="1">
      <c r="A201" s="1">
        <v>190.0</v>
      </c>
      <c r="B201" s="408">
        <f t="shared" si="5"/>
        <v>489357.75</v>
      </c>
      <c r="C201" s="408">
        <f t="shared" si="6"/>
        <v>158507.07</v>
      </c>
      <c r="D201" s="408">
        <f t="shared" si="7"/>
        <v>330850.6799</v>
      </c>
      <c r="E201" s="176">
        <f t="shared" si="8"/>
        <v>68835870.78</v>
      </c>
      <c r="F201" s="408">
        <f t="shared" si="11"/>
        <v>41944076.89</v>
      </c>
      <c r="G201" s="408">
        <f t="shared" si="12"/>
        <v>92977972.49</v>
      </c>
      <c r="H201" s="410">
        <f>IF(K201&gt;='Pro Forma Detail'!D$66,'Pro Forma Detail'!D$67,'Debt ReFi'!$B$5)</f>
        <v>0.0275</v>
      </c>
      <c r="I201" s="1">
        <f t="shared" si="1"/>
        <v>190</v>
      </c>
      <c r="J201" s="406">
        <f t="shared" si="13"/>
        <v>51410</v>
      </c>
      <c r="K201" s="105">
        <f t="shared" si="9"/>
        <v>20</v>
      </c>
      <c r="L201" s="411">
        <f t="shared" si="10"/>
        <v>489357.75</v>
      </c>
      <c r="M201" s="407">
        <f t="shared" si="2"/>
        <v>330850.6799</v>
      </c>
      <c r="N201" s="407">
        <f t="shared" si="3"/>
        <v>158507.07</v>
      </c>
      <c r="O201" s="407">
        <f t="shared" si="4"/>
        <v>68835870.78</v>
      </c>
      <c r="P201" s="1"/>
    </row>
    <row r="202" ht="12.75" customHeight="1">
      <c r="A202" s="1">
        <v>191.0</v>
      </c>
      <c r="B202" s="408">
        <f t="shared" si="5"/>
        <v>489357.75</v>
      </c>
      <c r="C202" s="408">
        <f t="shared" si="6"/>
        <v>157748.8705</v>
      </c>
      <c r="D202" s="408">
        <f t="shared" si="7"/>
        <v>331608.8794</v>
      </c>
      <c r="E202" s="176">
        <f t="shared" si="8"/>
        <v>68504261.9</v>
      </c>
      <c r="F202" s="408">
        <f t="shared" si="11"/>
        <v>42101825.76</v>
      </c>
      <c r="G202" s="408">
        <f t="shared" si="12"/>
        <v>93467330.24</v>
      </c>
      <c r="H202" s="410">
        <f>IF(K202&gt;='Pro Forma Detail'!D$66,'Pro Forma Detail'!D$67,'Debt ReFi'!$B$5)</f>
        <v>0.0275</v>
      </c>
      <c r="I202" s="1">
        <f t="shared" si="1"/>
        <v>191</v>
      </c>
      <c r="J202" s="406">
        <f t="shared" si="13"/>
        <v>51441</v>
      </c>
      <c r="K202" s="105">
        <f t="shared" si="9"/>
        <v>20</v>
      </c>
      <c r="L202" s="411">
        <f t="shared" si="10"/>
        <v>489357.75</v>
      </c>
      <c r="M202" s="407">
        <f t="shared" si="2"/>
        <v>331608.8794</v>
      </c>
      <c r="N202" s="407">
        <f t="shared" si="3"/>
        <v>157748.8705</v>
      </c>
      <c r="O202" s="407">
        <f t="shared" si="4"/>
        <v>68504261.9</v>
      </c>
      <c r="P202" s="1"/>
    </row>
    <row r="203" ht="12.75" customHeight="1">
      <c r="A203" s="1">
        <v>192.0</v>
      </c>
      <c r="B203" s="408">
        <f t="shared" si="5"/>
        <v>489357.75</v>
      </c>
      <c r="C203" s="408">
        <f t="shared" si="6"/>
        <v>156988.9335</v>
      </c>
      <c r="D203" s="408">
        <f t="shared" si="7"/>
        <v>332368.8164</v>
      </c>
      <c r="E203" s="176">
        <f t="shared" si="8"/>
        <v>68171893.08</v>
      </c>
      <c r="F203" s="408">
        <f t="shared" si="11"/>
        <v>42258814.69</v>
      </c>
      <c r="G203" s="408">
        <f t="shared" si="12"/>
        <v>93956687.99</v>
      </c>
      <c r="H203" s="410">
        <f>IF(K203&gt;='Pro Forma Detail'!D$66,'Pro Forma Detail'!D$67,'Debt ReFi'!$B$5)</f>
        <v>0.0275</v>
      </c>
      <c r="I203" s="1">
        <f t="shared" si="1"/>
        <v>192</v>
      </c>
      <c r="J203" s="406">
        <f t="shared" si="13"/>
        <v>51471</v>
      </c>
      <c r="K203" s="105">
        <f t="shared" si="9"/>
        <v>20</v>
      </c>
      <c r="L203" s="411">
        <f t="shared" si="10"/>
        <v>489357.75</v>
      </c>
      <c r="M203" s="407">
        <f t="shared" si="2"/>
        <v>332368.8164</v>
      </c>
      <c r="N203" s="407">
        <f t="shared" si="3"/>
        <v>156988.9335</v>
      </c>
      <c r="O203" s="407">
        <f t="shared" si="4"/>
        <v>68171893.08</v>
      </c>
      <c r="P203" s="1"/>
    </row>
    <row r="204" ht="12.75" customHeight="1">
      <c r="A204" s="1">
        <v>193.0</v>
      </c>
      <c r="B204" s="408">
        <f t="shared" si="5"/>
        <v>489357.75</v>
      </c>
      <c r="C204" s="408">
        <f t="shared" si="6"/>
        <v>156227.255</v>
      </c>
      <c r="D204" s="408">
        <f t="shared" si="7"/>
        <v>333130.495</v>
      </c>
      <c r="E204" s="176">
        <f t="shared" si="8"/>
        <v>67838762.59</v>
      </c>
      <c r="F204" s="408">
        <f t="shared" si="11"/>
        <v>42415041.94</v>
      </c>
      <c r="G204" s="408">
        <f t="shared" si="12"/>
        <v>94446045.74</v>
      </c>
      <c r="H204" s="410">
        <f>IF(K204&gt;='Pro Forma Detail'!D$66,'Pro Forma Detail'!D$67,'Debt ReFi'!$B$5)</f>
        <v>0.0275</v>
      </c>
      <c r="I204" s="1">
        <f t="shared" si="1"/>
        <v>193</v>
      </c>
      <c r="J204" s="406">
        <f t="shared" si="13"/>
        <v>51502</v>
      </c>
      <c r="K204" s="105">
        <f t="shared" si="9"/>
        <v>21</v>
      </c>
      <c r="L204" s="411">
        <f t="shared" si="10"/>
        <v>489357.75</v>
      </c>
      <c r="M204" s="407">
        <f t="shared" si="2"/>
        <v>333130.495</v>
      </c>
      <c r="N204" s="407">
        <f t="shared" si="3"/>
        <v>156227.255</v>
      </c>
      <c r="O204" s="407">
        <f t="shared" si="4"/>
        <v>67838762.59</v>
      </c>
      <c r="P204" s="1"/>
    </row>
    <row r="205" ht="12.75" customHeight="1">
      <c r="A205" s="1">
        <v>194.0</v>
      </c>
      <c r="B205" s="408">
        <f t="shared" si="5"/>
        <v>489357.75</v>
      </c>
      <c r="C205" s="408">
        <f t="shared" si="6"/>
        <v>155463.8309</v>
      </c>
      <c r="D205" s="408">
        <f t="shared" si="7"/>
        <v>333893.919</v>
      </c>
      <c r="E205" s="176">
        <f t="shared" si="8"/>
        <v>67504868.67</v>
      </c>
      <c r="F205" s="408">
        <f t="shared" si="11"/>
        <v>42570505.78</v>
      </c>
      <c r="G205" s="408">
        <f t="shared" si="12"/>
        <v>94935403.49</v>
      </c>
      <c r="H205" s="410">
        <f>IF(K205&gt;='Pro Forma Detail'!D$66,'Pro Forma Detail'!D$67,'Debt ReFi'!$B$5)</f>
        <v>0.0275</v>
      </c>
      <c r="I205" s="1">
        <f t="shared" si="1"/>
        <v>194</v>
      </c>
      <c r="J205" s="406">
        <f t="shared" si="13"/>
        <v>51533</v>
      </c>
      <c r="K205" s="105">
        <f t="shared" si="9"/>
        <v>21</v>
      </c>
      <c r="L205" s="411">
        <f t="shared" si="10"/>
        <v>489357.75</v>
      </c>
      <c r="M205" s="407">
        <f t="shared" si="2"/>
        <v>333893.919</v>
      </c>
      <c r="N205" s="407">
        <f t="shared" si="3"/>
        <v>155463.8309</v>
      </c>
      <c r="O205" s="407">
        <f t="shared" si="4"/>
        <v>67504868.67</v>
      </c>
      <c r="P205" s="1"/>
    </row>
    <row r="206" ht="12.75" customHeight="1">
      <c r="A206" s="1">
        <v>195.0</v>
      </c>
      <c r="B206" s="408">
        <f t="shared" si="5"/>
        <v>489357.75</v>
      </c>
      <c r="C206" s="408">
        <f t="shared" si="6"/>
        <v>154698.6574</v>
      </c>
      <c r="D206" s="408">
        <f t="shared" si="7"/>
        <v>334659.0926</v>
      </c>
      <c r="E206" s="176">
        <f t="shared" si="8"/>
        <v>67170209.58</v>
      </c>
      <c r="F206" s="408">
        <f t="shared" si="11"/>
        <v>42725204.43</v>
      </c>
      <c r="G206" s="408">
        <f t="shared" si="12"/>
        <v>95424761.24</v>
      </c>
      <c r="H206" s="410">
        <f>IF(K206&gt;='Pro Forma Detail'!D$66,'Pro Forma Detail'!D$67,'Debt ReFi'!$B$5)</f>
        <v>0.0275</v>
      </c>
      <c r="I206" s="1">
        <f t="shared" si="1"/>
        <v>195</v>
      </c>
      <c r="J206" s="406">
        <f t="shared" si="13"/>
        <v>51561</v>
      </c>
      <c r="K206" s="105">
        <f t="shared" si="9"/>
        <v>21</v>
      </c>
      <c r="L206" s="411">
        <f t="shared" si="10"/>
        <v>489357.75</v>
      </c>
      <c r="M206" s="407">
        <f t="shared" si="2"/>
        <v>334659.0926</v>
      </c>
      <c r="N206" s="407">
        <f t="shared" si="3"/>
        <v>154698.6574</v>
      </c>
      <c r="O206" s="407">
        <f t="shared" si="4"/>
        <v>67170209.58</v>
      </c>
      <c r="P206" s="1"/>
    </row>
    <row r="207" ht="12.75" customHeight="1">
      <c r="A207" s="1">
        <v>196.0</v>
      </c>
      <c r="B207" s="408">
        <f t="shared" si="5"/>
        <v>489357.75</v>
      </c>
      <c r="C207" s="408">
        <f t="shared" si="6"/>
        <v>153931.7303</v>
      </c>
      <c r="D207" s="408">
        <f t="shared" si="7"/>
        <v>335426.0197</v>
      </c>
      <c r="E207" s="176">
        <f t="shared" si="8"/>
        <v>66834783.56</v>
      </c>
      <c r="F207" s="408">
        <f t="shared" si="11"/>
        <v>42879136.16</v>
      </c>
      <c r="G207" s="408">
        <f t="shared" si="12"/>
        <v>95914118.99</v>
      </c>
      <c r="H207" s="410">
        <f>IF(K207&gt;='Pro Forma Detail'!D$66,'Pro Forma Detail'!D$67,'Debt ReFi'!$B$5)</f>
        <v>0.0275</v>
      </c>
      <c r="I207" s="1">
        <f t="shared" si="1"/>
        <v>196</v>
      </c>
      <c r="J207" s="406">
        <f t="shared" si="13"/>
        <v>51592</v>
      </c>
      <c r="K207" s="105">
        <f t="shared" si="9"/>
        <v>21</v>
      </c>
      <c r="L207" s="411">
        <f t="shared" si="10"/>
        <v>489357.75</v>
      </c>
      <c r="M207" s="407">
        <f t="shared" si="2"/>
        <v>335426.0197</v>
      </c>
      <c r="N207" s="407">
        <f t="shared" si="3"/>
        <v>153931.7303</v>
      </c>
      <c r="O207" s="407">
        <f t="shared" si="4"/>
        <v>66834783.56</v>
      </c>
      <c r="P207" s="1"/>
    </row>
    <row r="208" ht="12.75" customHeight="1">
      <c r="A208" s="1">
        <v>197.0</v>
      </c>
      <c r="B208" s="408">
        <f t="shared" si="5"/>
        <v>489357.75</v>
      </c>
      <c r="C208" s="408">
        <f t="shared" si="6"/>
        <v>153163.0457</v>
      </c>
      <c r="D208" s="408">
        <f t="shared" si="7"/>
        <v>336194.7043</v>
      </c>
      <c r="E208" s="176">
        <f t="shared" si="8"/>
        <v>66498588.85</v>
      </c>
      <c r="F208" s="408">
        <f t="shared" si="11"/>
        <v>43032299.21</v>
      </c>
      <c r="G208" s="408">
        <f t="shared" si="12"/>
        <v>96403476.74</v>
      </c>
      <c r="H208" s="410">
        <f>IF(K208&gt;='Pro Forma Detail'!D$66,'Pro Forma Detail'!D$67,'Debt ReFi'!$B$5)</f>
        <v>0.0275</v>
      </c>
      <c r="I208" s="1">
        <f t="shared" si="1"/>
        <v>197</v>
      </c>
      <c r="J208" s="406">
        <f t="shared" si="13"/>
        <v>51622</v>
      </c>
      <c r="K208" s="105">
        <f t="shared" si="9"/>
        <v>21</v>
      </c>
      <c r="L208" s="411">
        <f t="shared" si="10"/>
        <v>489357.75</v>
      </c>
      <c r="M208" s="407">
        <f t="shared" si="2"/>
        <v>336194.7043</v>
      </c>
      <c r="N208" s="407">
        <f t="shared" si="3"/>
        <v>153163.0457</v>
      </c>
      <c r="O208" s="407">
        <f t="shared" si="4"/>
        <v>66498588.85</v>
      </c>
      <c r="P208" s="1"/>
    </row>
    <row r="209" ht="12.75" customHeight="1">
      <c r="A209" s="1">
        <v>198.0</v>
      </c>
      <c r="B209" s="408">
        <f t="shared" si="5"/>
        <v>489357.75</v>
      </c>
      <c r="C209" s="408">
        <f t="shared" si="6"/>
        <v>152392.5995</v>
      </c>
      <c r="D209" s="408">
        <f t="shared" si="7"/>
        <v>336965.1505</v>
      </c>
      <c r="E209" s="176">
        <f t="shared" si="8"/>
        <v>66161623.7</v>
      </c>
      <c r="F209" s="408">
        <f t="shared" si="11"/>
        <v>43184691.81</v>
      </c>
      <c r="G209" s="408">
        <f t="shared" si="12"/>
        <v>96892834.49</v>
      </c>
      <c r="H209" s="410">
        <f>IF(K209&gt;='Pro Forma Detail'!D$66,'Pro Forma Detail'!D$67,'Debt ReFi'!$B$5)</f>
        <v>0.0275</v>
      </c>
      <c r="I209" s="1">
        <f t="shared" si="1"/>
        <v>198</v>
      </c>
      <c r="J209" s="406">
        <f t="shared" si="13"/>
        <v>51653</v>
      </c>
      <c r="K209" s="105">
        <f t="shared" si="9"/>
        <v>21</v>
      </c>
      <c r="L209" s="411">
        <f t="shared" si="10"/>
        <v>489357.75</v>
      </c>
      <c r="M209" s="407">
        <f t="shared" si="2"/>
        <v>336965.1505</v>
      </c>
      <c r="N209" s="407">
        <f t="shared" si="3"/>
        <v>152392.5995</v>
      </c>
      <c r="O209" s="407">
        <f t="shared" si="4"/>
        <v>66161623.7</v>
      </c>
      <c r="P209" s="1"/>
    </row>
    <row r="210" ht="12.75" customHeight="1">
      <c r="A210" s="1">
        <v>199.0</v>
      </c>
      <c r="B210" s="408">
        <f t="shared" si="5"/>
        <v>489357.75</v>
      </c>
      <c r="C210" s="408">
        <f t="shared" si="6"/>
        <v>151620.3877</v>
      </c>
      <c r="D210" s="408">
        <f t="shared" si="7"/>
        <v>337737.3623</v>
      </c>
      <c r="E210" s="176">
        <f t="shared" si="8"/>
        <v>65823886.34</v>
      </c>
      <c r="F210" s="408">
        <f t="shared" si="11"/>
        <v>43336312.2</v>
      </c>
      <c r="G210" s="408">
        <f t="shared" si="12"/>
        <v>97382192.24</v>
      </c>
      <c r="H210" s="410">
        <f>IF(K210&gt;='Pro Forma Detail'!D$66,'Pro Forma Detail'!D$67,'Debt ReFi'!$B$5)</f>
        <v>0.0275</v>
      </c>
      <c r="I210" s="1">
        <f t="shared" si="1"/>
        <v>199</v>
      </c>
      <c r="J210" s="406">
        <f t="shared" si="13"/>
        <v>51683</v>
      </c>
      <c r="K210" s="105">
        <f t="shared" si="9"/>
        <v>21</v>
      </c>
      <c r="L210" s="411">
        <f t="shared" si="10"/>
        <v>489357.75</v>
      </c>
      <c r="M210" s="407">
        <f t="shared" si="2"/>
        <v>337737.3623</v>
      </c>
      <c r="N210" s="407">
        <f t="shared" si="3"/>
        <v>151620.3877</v>
      </c>
      <c r="O210" s="407">
        <f t="shared" si="4"/>
        <v>65823886.34</v>
      </c>
      <c r="P210" s="1"/>
    </row>
    <row r="211" ht="12.75" customHeight="1">
      <c r="A211" s="1">
        <v>200.0</v>
      </c>
      <c r="B211" s="408">
        <f t="shared" si="5"/>
        <v>489357.75</v>
      </c>
      <c r="C211" s="408">
        <f t="shared" si="6"/>
        <v>150846.4062</v>
      </c>
      <c r="D211" s="408">
        <f t="shared" si="7"/>
        <v>338511.3438</v>
      </c>
      <c r="E211" s="176">
        <f t="shared" si="8"/>
        <v>65485375</v>
      </c>
      <c r="F211" s="408">
        <f t="shared" si="11"/>
        <v>43487158.6</v>
      </c>
      <c r="G211" s="408">
        <f t="shared" si="12"/>
        <v>97871549.99</v>
      </c>
      <c r="H211" s="410">
        <f>IF(K211&gt;='Pro Forma Detail'!D$66,'Pro Forma Detail'!D$67,'Debt ReFi'!$B$5)</f>
        <v>0.0275</v>
      </c>
      <c r="I211" s="1">
        <f t="shared" si="1"/>
        <v>200</v>
      </c>
      <c r="J211" s="406">
        <f t="shared" si="13"/>
        <v>51714</v>
      </c>
      <c r="K211" s="105">
        <f t="shared" si="9"/>
        <v>21</v>
      </c>
      <c r="L211" s="411">
        <f t="shared" si="10"/>
        <v>489357.75</v>
      </c>
      <c r="M211" s="407">
        <f t="shared" si="2"/>
        <v>338511.3438</v>
      </c>
      <c r="N211" s="407">
        <f t="shared" si="3"/>
        <v>150846.4062</v>
      </c>
      <c r="O211" s="407">
        <f t="shared" si="4"/>
        <v>65485375</v>
      </c>
      <c r="P211" s="1"/>
    </row>
    <row r="212" ht="12.75" customHeight="1">
      <c r="A212" s="1">
        <v>201.0</v>
      </c>
      <c r="B212" s="408">
        <f t="shared" si="5"/>
        <v>489357.75</v>
      </c>
      <c r="C212" s="408">
        <f t="shared" si="6"/>
        <v>150070.651</v>
      </c>
      <c r="D212" s="408">
        <f t="shared" si="7"/>
        <v>339287.0989</v>
      </c>
      <c r="E212" s="176">
        <f t="shared" si="8"/>
        <v>65146087.9</v>
      </c>
      <c r="F212" s="408">
        <f t="shared" si="11"/>
        <v>43637229.25</v>
      </c>
      <c r="G212" s="408">
        <f t="shared" si="12"/>
        <v>98360907.74</v>
      </c>
      <c r="H212" s="410">
        <f>IF(K212&gt;='Pro Forma Detail'!D$66,'Pro Forma Detail'!D$67,'Debt ReFi'!$B$5)</f>
        <v>0.0275</v>
      </c>
      <c r="I212" s="1">
        <f t="shared" si="1"/>
        <v>201</v>
      </c>
      <c r="J212" s="406">
        <f t="shared" si="13"/>
        <v>51745</v>
      </c>
      <c r="K212" s="105">
        <f t="shared" si="9"/>
        <v>21</v>
      </c>
      <c r="L212" s="411">
        <f t="shared" si="10"/>
        <v>489357.75</v>
      </c>
      <c r="M212" s="407">
        <f t="shared" si="2"/>
        <v>339287.0989</v>
      </c>
      <c r="N212" s="407">
        <f t="shared" si="3"/>
        <v>150070.651</v>
      </c>
      <c r="O212" s="407">
        <f t="shared" si="4"/>
        <v>65146087.9</v>
      </c>
      <c r="P212" s="1"/>
    </row>
    <row r="213" ht="12.75" customHeight="1">
      <c r="A213" s="1">
        <v>202.0</v>
      </c>
      <c r="B213" s="408">
        <f t="shared" si="5"/>
        <v>489357.75</v>
      </c>
      <c r="C213" s="408">
        <f t="shared" si="6"/>
        <v>149293.1181</v>
      </c>
      <c r="D213" s="408">
        <f t="shared" si="7"/>
        <v>340064.6319</v>
      </c>
      <c r="E213" s="176">
        <f t="shared" si="8"/>
        <v>64806023.27</v>
      </c>
      <c r="F213" s="408">
        <f t="shared" si="11"/>
        <v>43786522.37</v>
      </c>
      <c r="G213" s="408">
        <f t="shared" si="12"/>
        <v>98850265.49</v>
      </c>
      <c r="H213" s="410">
        <f>IF(K213&gt;='Pro Forma Detail'!D$66,'Pro Forma Detail'!D$67,'Debt ReFi'!$B$5)</f>
        <v>0.0275</v>
      </c>
      <c r="I213" s="1">
        <f t="shared" si="1"/>
        <v>202</v>
      </c>
      <c r="J213" s="406">
        <f t="shared" si="13"/>
        <v>51775</v>
      </c>
      <c r="K213" s="105">
        <f t="shared" si="9"/>
        <v>21</v>
      </c>
      <c r="L213" s="411">
        <f t="shared" si="10"/>
        <v>489357.75</v>
      </c>
      <c r="M213" s="407">
        <f t="shared" si="2"/>
        <v>340064.6319</v>
      </c>
      <c r="N213" s="407">
        <f t="shared" si="3"/>
        <v>149293.1181</v>
      </c>
      <c r="O213" s="407">
        <f t="shared" si="4"/>
        <v>64806023.27</v>
      </c>
      <c r="P213" s="1"/>
    </row>
    <row r="214" ht="12.75" customHeight="1">
      <c r="A214" s="1">
        <v>203.0</v>
      </c>
      <c r="B214" s="408">
        <f t="shared" si="5"/>
        <v>489357.75</v>
      </c>
      <c r="C214" s="408">
        <f t="shared" si="6"/>
        <v>148513.8033</v>
      </c>
      <c r="D214" s="408">
        <f t="shared" si="7"/>
        <v>340843.9466</v>
      </c>
      <c r="E214" s="176">
        <f t="shared" si="8"/>
        <v>64465179.32</v>
      </c>
      <c r="F214" s="408">
        <f t="shared" si="11"/>
        <v>43935036.17</v>
      </c>
      <c r="G214" s="408">
        <f t="shared" si="12"/>
        <v>99339623.24</v>
      </c>
      <c r="H214" s="410">
        <f>IF(K214&gt;='Pro Forma Detail'!D$66,'Pro Forma Detail'!D$67,'Debt ReFi'!$B$5)</f>
        <v>0.0275</v>
      </c>
      <c r="I214" s="1">
        <f t="shared" si="1"/>
        <v>203</v>
      </c>
      <c r="J214" s="406">
        <f t="shared" si="13"/>
        <v>51806</v>
      </c>
      <c r="K214" s="105">
        <f t="shared" si="9"/>
        <v>21</v>
      </c>
      <c r="L214" s="411">
        <f t="shared" si="10"/>
        <v>489357.75</v>
      </c>
      <c r="M214" s="407">
        <f t="shared" si="2"/>
        <v>340843.9466</v>
      </c>
      <c r="N214" s="407">
        <f t="shared" si="3"/>
        <v>148513.8033</v>
      </c>
      <c r="O214" s="407">
        <f t="shared" si="4"/>
        <v>64465179.32</v>
      </c>
      <c r="P214" s="1"/>
    </row>
    <row r="215" ht="12.75" customHeight="1">
      <c r="A215" s="1">
        <v>204.0</v>
      </c>
      <c r="B215" s="408">
        <f t="shared" si="5"/>
        <v>489357.75</v>
      </c>
      <c r="C215" s="408">
        <f t="shared" si="6"/>
        <v>147732.7026</v>
      </c>
      <c r="D215" s="408">
        <f t="shared" si="7"/>
        <v>341625.0473</v>
      </c>
      <c r="E215" s="176">
        <f t="shared" si="8"/>
        <v>64123554.27</v>
      </c>
      <c r="F215" s="408">
        <f t="shared" si="11"/>
        <v>44082768.88</v>
      </c>
      <c r="G215" s="408">
        <f t="shared" si="12"/>
        <v>99828980.99</v>
      </c>
      <c r="H215" s="410">
        <f>IF(K215&gt;='Pro Forma Detail'!D$66,'Pro Forma Detail'!D$67,'Debt ReFi'!$B$5)</f>
        <v>0.0275</v>
      </c>
      <c r="I215" s="1">
        <f t="shared" si="1"/>
        <v>204</v>
      </c>
      <c r="J215" s="406">
        <f t="shared" si="13"/>
        <v>51836</v>
      </c>
      <c r="K215" s="105">
        <f t="shared" si="9"/>
        <v>21</v>
      </c>
      <c r="L215" s="411">
        <f t="shared" si="10"/>
        <v>489357.75</v>
      </c>
      <c r="M215" s="407">
        <f t="shared" si="2"/>
        <v>341625.0473</v>
      </c>
      <c r="N215" s="407">
        <f t="shared" si="3"/>
        <v>147732.7026</v>
      </c>
      <c r="O215" s="407">
        <f t="shared" si="4"/>
        <v>64123554.27</v>
      </c>
      <c r="P215" s="1"/>
    </row>
    <row r="216" ht="12.75" customHeight="1">
      <c r="A216" s="1">
        <v>205.0</v>
      </c>
      <c r="B216" s="408">
        <f t="shared" si="5"/>
        <v>489357.75</v>
      </c>
      <c r="C216" s="408">
        <f t="shared" si="6"/>
        <v>146949.8119</v>
      </c>
      <c r="D216" s="408">
        <f t="shared" si="7"/>
        <v>342407.9381</v>
      </c>
      <c r="E216" s="176">
        <f t="shared" si="8"/>
        <v>63781146.33</v>
      </c>
      <c r="F216" s="408">
        <f t="shared" si="11"/>
        <v>44229718.69</v>
      </c>
      <c r="G216" s="408">
        <f t="shared" si="12"/>
        <v>100318338.7</v>
      </c>
      <c r="H216" s="410">
        <f>IF(K216&gt;='Pro Forma Detail'!D$66,'Pro Forma Detail'!D$67,'Debt ReFi'!$B$5)</f>
        <v>0.0275</v>
      </c>
      <c r="I216" s="1">
        <f t="shared" si="1"/>
        <v>205</v>
      </c>
      <c r="J216" s="406">
        <f t="shared" si="13"/>
        <v>51867</v>
      </c>
      <c r="K216" s="105">
        <f t="shared" si="9"/>
        <v>22</v>
      </c>
      <c r="L216" s="411">
        <f t="shared" si="10"/>
        <v>489357.75</v>
      </c>
      <c r="M216" s="407">
        <f t="shared" si="2"/>
        <v>342407.9381</v>
      </c>
      <c r="N216" s="407">
        <f t="shared" si="3"/>
        <v>146949.8119</v>
      </c>
      <c r="O216" s="407">
        <f t="shared" si="4"/>
        <v>63781146.33</v>
      </c>
      <c r="P216" s="1"/>
    </row>
    <row r="217" ht="12.75" customHeight="1">
      <c r="A217" s="1">
        <v>206.0</v>
      </c>
      <c r="B217" s="408">
        <f t="shared" si="5"/>
        <v>489357.75</v>
      </c>
      <c r="C217" s="408">
        <f t="shared" si="6"/>
        <v>146165.127</v>
      </c>
      <c r="D217" s="408">
        <f t="shared" si="7"/>
        <v>343192.6229</v>
      </c>
      <c r="E217" s="176">
        <f t="shared" si="8"/>
        <v>63437953.71</v>
      </c>
      <c r="F217" s="408">
        <f t="shared" si="11"/>
        <v>44375883.82</v>
      </c>
      <c r="G217" s="408">
        <f t="shared" si="12"/>
        <v>100807696.5</v>
      </c>
      <c r="H217" s="410">
        <f>IF(K217&gt;='Pro Forma Detail'!D$66,'Pro Forma Detail'!D$67,'Debt ReFi'!$B$5)</f>
        <v>0.0275</v>
      </c>
      <c r="I217" s="1">
        <f t="shared" si="1"/>
        <v>206</v>
      </c>
      <c r="J217" s="406">
        <f t="shared" si="13"/>
        <v>51898</v>
      </c>
      <c r="K217" s="105">
        <f t="shared" si="9"/>
        <v>22</v>
      </c>
      <c r="L217" s="411">
        <f t="shared" si="10"/>
        <v>489357.75</v>
      </c>
      <c r="M217" s="407">
        <f t="shared" si="2"/>
        <v>343192.6229</v>
      </c>
      <c r="N217" s="407">
        <f t="shared" si="3"/>
        <v>146165.127</v>
      </c>
      <c r="O217" s="407">
        <f t="shared" si="4"/>
        <v>63437953.71</v>
      </c>
      <c r="P217" s="1"/>
    </row>
    <row r="218" ht="12.75" customHeight="1">
      <c r="A218" s="1">
        <v>207.0</v>
      </c>
      <c r="B218" s="408">
        <f t="shared" si="5"/>
        <v>489357.75</v>
      </c>
      <c r="C218" s="408">
        <f t="shared" si="6"/>
        <v>145378.6439</v>
      </c>
      <c r="D218" s="408">
        <f t="shared" si="7"/>
        <v>343979.106</v>
      </c>
      <c r="E218" s="176">
        <f t="shared" si="8"/>
        <v>63093974.61</v>
      </c>
      <c r="F218" s="408">
        <f t="shared" si="11"/>
        <v>44521262.46</v>
      </c>
      <c r="G218" s="408">
        <f t="shared" si="12"/>
        <v>101297054.2</v>
      </c>
      <c r="H218" s="410">
        <f>IF(K218&gt;='Pro Forma Detail'!D$66,'Pro Forma Detail'!D$67,'Debt ReFi'!$B$5)</f>
        <v>0.0275</v>
      </c>
      <c r="I218" s="1">
        <f t="shared" si="1"/>
        <v>207</v>
      </c>
      <c r="J218" s="406">
        <f t="shared" si="13"/>
        <v>51926</v>
      </c>
      <c r="K218" s="105">
        <f t="shared" si="9"/>
        <v>22</v>
      </c>
      <c r="L218" s="411">
        <f t="shared" si="10"/>
        <v>489357.75</v>
      </c>
      <c r="M218" s="407">
        <f t="shared" si="2"/>
        <v>343979.106</v>
      </c>
      <c r="N218" s="407">
        <f t="shared" si="3"/>
        <v>145378.6439</v>
      </c>
      <c r="O218" s="407">
        <f t="shared" si="4"/>
        <v>63093974.61</v>
      </c>
      <c r="P218" s="1"/>
    </row>
    <row r="219" ht="12.75" customHeight="1">
      <c r="A219" s="1">
        <v>208.0</v>
      </c>
      <c r="B219" s="408">
        <f t="shared" si="5"/>
        <v>489357.75</v>
      </c>
      <c r="C219" s="408">
        <f t="shared" si="6"/>
        <v>144590.3585</v>
      </c>
      <c r="D219" s="408">
        <f t="shared" si="7"/>
        <v>344767.3915</v>
      </c>
      <c r="E219" s="176">
        <f t="shared" si="8"/>
        <v>62749207.21</v>
      </c>
      <c r="F219" s="408">
        <f t="shared" si="11"/>
        <v>44665852.82</v>
      </c>
      <c r="G219" s="408">
        <f t="shared" si="12"/>
        <v>101786412</v>
      </c>
      <c r="H219" s="410">
        <f>IF(K219&gt;='Pro Forma Detail'!D$66,'Pro Forma Detail'!D$67,'Debt ReFi'!$B$5)</f>
        <v>0.0275</v>
      </c>
      <c r="I219" s="1">
        <f t="shared" si="1"/>
        <v>208</v>
      </c>
      <c r="J219" s="406">
        <f t="shared" si="13"/>
        <v>51957</v>
      </c>
      <c r="K219" s="105">
        <f t="shared" si="9"/>
        <v>22</v>
      </c>
      <c r="L219" s="411">
        <f t="shared" si="10"/>
        <v>489357.75</v>
      </c>
      <c r="M219" s="407">
        <f t="shared" si="2"/>
        <v>344767.3915</v>
      </c>
      <c r="N219" s="407">
        <f t="shared" si="3"/>
        <v>144590.3585</v>
      </c>
      <c r="O219" s="407">
        <f t="shared" si="4"/>
        <v>62749207.21</v>
      </c>
      <c r="P219" s="1"/>
    </row>
    <row r="220" ht="12.75" customHeight="1">
      <c r="A220" s="1">
        <v>209.0</v>
      </c>
      <c r="B220" s="408">
        <f t="shared" si="5"/>
        <v>489357.75</v>
      </c>
      <c r="C220" s="408">
        <f t="shared" si="6"/>
        <v>143800.2665</v>
      </c>
      <c r="D220" s="408">
        <f t="shared" si="7"/>
        <v>345557.4834</v>
      </c>
      <c r="E220" s="176">
        <f t="shared" si="8"/>
        <v>62403649.73</v>
      </c>
      <c r="F220" s="408">
        <f t="shared" si="11"/>
        <v>44809653.08</v>
      </c>
      <c r="G220" s="408">
        <f t="shared" si="12"/>
        <v>102275769.7</v>
      </c>
      <c r="H220" s="410">
        <f>IF(K220&gt;='Pro Forma Detail'!D$66,'Pro Forma Detail'!D$67,'Debt ReFi'!$B$5)</f>
        <v>0.0275</v>
      </c>
      <c r="I220" s="1">
        <f t="shared" si="1"/>
        <v>209</v>
      </c>
      <c r="J220" s="406">
        <f t="shared" si="13"/>
        <v>51987</v>
      </c>
      <c r="K220" s="105">
        <f t="shared" si="9"/>
        <v>22</v>
      </c>
      <c r="L220" s="411">
        <f t="shared" si="10"/>
        <v>489357.75</v>
      </c>
      <c r="M220" s="407">
        <f t="shared" si="2"/>
        <v>345557.4834</v>
      </c>
      <c r="N220" s="407">
        <f t="shared" si="3"/>
        <v>143800.2665</v>
      </c>
      <c r="O220" s="407">
        <f t="shared" si="4"/>
        <v>62403649.73</v>
      </c>
      <c r="P220" s="1"/>
    </row>
    <row r="221" ht="12.75" customHeight="1">
      <c r="A221" s="1">
        <v>210.0</v>
      </c>
      <c r="B221" s="408">
        <f t="shared" si="5"/>
        <v>489357.75</v>
      </c>
      <c r="C221" s="408">
        <f t="shared" si="6"/>
        <v>143008.364</v>
      </c>
      <c r="D221" s="408">
        <f t="shared" si="7"/>
        <v>346349.386</v>
      </c>
      <c r="E221" s="176">
        <f t="shared" si="8"/>
        <v>62057300.34</v>
      </c>
      <c r="F221" s="408">
        <f t="shared" si="11"/>
        <v>44952661.45</v>
      </c>
      <c r="G221" s="408">
        <f t="shared" si="12"/>
        <v>102765127.5</v>
      </c>
      <c r="H221" s="410">
        <f>IF(K221&gt;='Pro Forma Detail'!D$66,'Pro Forma Detail'!D$67,'Debt ReFi'!$B$5)</f>
        <v>0.0275</v>
      </c>
      <c r="I221" s="1">
        <f t="shared" si="1"/>
        <v>210</v>
      </c>
      <c r="J221" s="406">
        <f t="shared" si="13"/>
        <v>52018</v>
      </c>
      <c r="K221" s="105">
        <f t="shared" si="9"/>
        <v>22</v>
      </c>
      <c r="L221" s="411">
        <f t="shared" si="10"/>
        <v>489357.75</v>
      </c>
      <c r="M221" s="407">
        <f t="shared" si="2"/>
        <v>346349.386</v>
      </c>
      <c r="N221" s="407">
        <f t="shared" si="3"/>
        <v>143008.364</v>
      </c>
      <c r="O221" s="407">
        <f t="shared" si="4"/>
        <v>62057300.34</v>
      </c>
      <c r="P221" s="1"/>
    </row>
    <row r="222" ht="12.75" customHeight="1">
      <c r="A222" s="1">
        <v>211.0</v>
      </c>
      <c r="B222" s="408">
        <f t="shared" si="5"/>
        <v>489357.75</v>
      </c>
      <c r="C222" s="408">
        <f t="shared" si="6"/>
        <v>142214.6466</v>
      </c>
      <c r="D222" s="408">
        <f t="shared" si="7"/>
        <v>347143.1033</v>
      </c>
      <c r="E222" s="176">
        <f t="shared" si="8"/>
        <v>61710157.24</v>
      </c>
      <c r="F222" s="408">
        <f t="shared" si="11"/>
        <v>45094876.1</v>
      </c>
      <c r="G222" s="408">
        <f t="shared" si="12"/>
        <v>103254485.2</v>
      </c>
      <c r="H222" s="410">
        <f>IF(K222&gt;='Pro Forma Detail'!D$66,'Pro Forma Detail'!D$67,'Debt ReFi'!$B$5)</f>
        <v>0.0275</v>
      </c>
      <c r="I222" s="1">
        <f t="shared" si="1"/>
        <v>211</v>
      </c>
      <c r="J222" s="406">
        <f t="shared" si="13"/>
        <v>52048</v>
      </c>
      <c r="K222" s="105">
        <f t="shared" si="9"/>
        <v>22</v>
      </c>
      <c r="L222" s="411">
        <f t="shared" si="10"/>
        <v>489357.75</v>
      </c>
      <c r="M222" s="407">
        <f t="shared" si="2"/>
        <v>347143.1033</v>
      </c>
      <c r="N222" s="407">
        <f t="shared" si="3"/>
        <v>142214.6466</v>
      </c>
      <c r="O222" s="407">
        <f t="shared" si="4"/>
        <v>61710157.24</v>
      </c>
      <c r="P222" s="1"/>
    </row>
    <row r="223" ht="12.75" customHeight="1">
      <c r="A223" s="1">
        <v>212.0</v>
      </c>
      <c r="B223" s="408">
        <f t="shared" si="5"/>
        <v>489357.75</v>
      </c>
      <c r="C223" s="408">
        <f t="shared" si="6"/>
        <v>141419.1103</v>
      </c>
      <c r="D223" s="408">
        <f t="shared" si="7"/>
        <v>347938.6396</v>
      </c>
      <c r="E223" s="176">
        <f t="shared" si="8"/>
        <v>61362218.6</v>
      </c>
      <c r="F223" s="408">
        <f t="shared" si="11"/>
        <v>45236295.21</v>
      </c>
      <c r="G223" s="408">
        <f t="shared" si="12"/>
        <v>103743843</v>
      </c>
      <c r="H223" s="410">
        <f>IF(K223&gt;='Pro Forma Detail'!D$66,'Pro Forma Detail'!D$67,'Debt ReFi'!$B$5)</f>
        <v>0.0275</v>
      </c>
      <c r="I223" s="1">
        <f t="shared" si="1"/>
        <v>212</v>
      </c>
      <c r="J223" s="406">
        <f t="shared" si="13"/>
        <v>52079</v>
      </c>
      <c r="K223" s="105">
        <f t="shared" si="9"/>
        <v>22</v>
      </c>
      <c r="L223" s="411">
        <f t="shared" si="10"/>
        <v>489357.75</v>
      </c>
      <c r="M223" s="407">
        <f t="shared" si="2"/>
        <v>347938.6396</v>
      </c>
      <c r="N223" s="407">
        <f t="shared" si="3"/>
        <v>141419.1103</v>
      </c>
      <c r="O223" s="407">
        <f t="shared" si="4"/>
        <v>61362218.6</v>
      </c>
      <c r="P223" s="1"/>
    </row>
    <row r="224" ht="12.75" customHeight="1">
      <c r="A224" s="1">
        <v>213.0</v>
      </c>
      <c r="B224" s="408">
        <f t="shared" si="5"/>
        <v>489357.75</v>
      </c>
      <c r="C224" s="408">
        <f t="shared" si="6"/>
        <v>140621.751</v>
      </c>
      <c r="D224" s="408">
        <f t="shared" si="7"/>
        <v>348735.999</v>
      </c>
      <c r="E224" s="176">
        <f t="shared" si="8"/>
        <v>61013482.6</v>
      </c>
      <c r="F224" s="408">
        <f t="shared" si="11"/>
        <v>45376916.96</v>
      </c>
      <c r="G224" s="408">
        <f t="shared" si="12"/>
        <v>104233200.7</v>
      </c>
      <c r="H224" s="410">
        <f>IF(K224&gt;='Pro Forma Detail'!D$66,'Pro Forma Detail'!D$67,'Debt ReFi'!$B$5)</f>
        <v>0.0275</v>
      </c>
      <c r="I224" s="1">
        <f t="shared" si="1"/>
        <v>213</v>
      </c>
      <c r="J224" s="406">
        <f t="shared" si="13"/>
        <v>52110</v>
      </c>
      <c r="K224" s="105">
        <f t="shared" si="9"/>
        <v>22</v>
      </c>
      <c r="L224" s="411">
        <f t="shared" si="10"/>
        <v>489357.75</v>
      </c>
      <c r="M224" s="407">
        <f t="shared" si="2"/>
        <v>348735.999</v>
      </c>
      <c r="N224" s="407">
        <f t="shared" si="3"/>
        <v>140621.751</v>
      </c>
      <c r="O224" s="407">
        <f t="shared" si="4"/>
        <v>61013482.6</v>
      </c>
      <c r="P224" s="1"/>
    </row>
    <row r="225" ht="12.75" customHeight="1">
      <c r="A225" s="1">
        <v>214.0</v>
      </c>
      <c r="B225" s="408">
        <f t="shared" si="5"/>
        <v>489357.75</v>
      </c>
      <c r="C225" s="408">
        <f t="shared" si="6"/>
        <v>139822.5643</v>
      </c>
      <c r="D225" s="408">
        <f t="shared" si="7"/>
        <v>349535.1857</v>
      </c>
      <c r="E225" s="176">
        <f t="shared" si="8"/>
        <v>60663947.42</v>
      </c>
      <c r="F225" s="408">
        <f t="shared" si="11"/>
        <v>45516739.52</v>
      </c>
      <c r="G225" s="408">
        <f t="shared" si="12"/>
        <v>104722558.5</v>
      </c>
      <c r="H225" s="410">
        <f>IF(K225&gt;='Pro Forma Detail'!D$66,'Pro Forma Detail'!D$67,'Debt ReFi'!$B$5)</f>
        <v>0.0275</v>
      </c>
      <c r="I225" s="1">
        <f t="shared" si="1"/>
        <v>214</v>
      </c>
      <c r="J225" s="406">
        <f t="shared" si="13"/>
        <v>52140</v>
      </c>
      <c r="K225" s="105">
        <f t="shared" si="9"/>
        <v>22</v>
      </c>
      <c r="L225" s="411">
        <f t="shared" si="10"/>
        <v>489357.75</v>
      </c>
      <c r="M225" s="407">
        <f t="shared" si="2"/>
        <v>349535.1857</v>
      </c>
      <c r="N225" s="407">
        <f t="shared" si="3"/>
        <v>139822.5643</v>
      </c>
      <c r="O225" s="407">
        <f t="shared" si="4"/>
        <v>60663947.42</v>
      </c>
      <c r="P225" s="1"/>
    </row>
    <row r="226" ht="12.75" customHeight="1">
      <c r="A226" s="1">
        <v>215.0</v>
      </c>
      <c r="B226" s="408">
        <f t="shared" si="5"/>
        <v>489357.75</v>
      </c>
      <c r="C226" s="408">
        <f t="shared" si="6"/>
        <v>139021.5462</v>
      </c>
      <c r="D226" s="408">
        <f t="shared" si="7"/>
        <v>350336.2038</v>
      </c>
      <c r="E226" s="176">
        <f t="shared" si="8"/>
        <v>60313611.21</v>
      </c>
      <c r="F226" s="408">
        <f t="shared" si="11"/>
        <v>45655761.07</v>
      </c>
      <c r="G226" s="408">
        <f t="shared" si="12"/>
        <v>105211916.2</v>
      </c>
      <c r="H226" s="410">
        <f>IF(K226&gt;='Pro Forma Detail'!D$66,'Pro Forma Detail'!D$67,'Debt ReFi'!$B$5)</f>
        <v>0.0275</v>
      </c>
      <c r="I226" s="1">
        <f t="shared" si="1"/>
        <v>215</v>
      </c>
      <c r="J226" s="406">
        <f t="shared" si="13"/>
        <v>52171</v>
      </c>
      <c r="K226" s="105">
        <f t="shared" si="9"/>
        <v>22</v>
      </c>
      <c r="L226" s="411">
        <f t="shared" si="10"/>
        <v>489357.75</v>
      </c>
      <c r="M226" s="407">
        <f t="shared" si="2"/>
        <v>350336.2038</v>
      </c>
      <c r="N226" s="407">
        <f t="shared" si="3"/>
        <v>139021.5462</v>
      </c>
      <c r="O226" s="407">
        <f t="shared" si="4"/>
        <v>60313611.21</v>
      </c>
      <c r="P226" s="1"/>
    </row>
    <row r="227" ht="12.75" customHeight="1">
      <c r="A227" s="1">
        <v>216.0</v>
      </c>
      <c r="B227" s="408">
        <f t="shared" si="5"/>
        <v>489357.75</v>
      </c>
      <c r="C227" s="408">
        <f t="shared" si="6"/>
        <v>138218.6924</v>
      </c>
      <c r="D227" s="408">
        <f t="shared" si="7"/>
        <v>351139.0576</v>
      </c>
      <c r="E227" s="176">
        <f t="shared" si="8"/>
        <v>59962472.16</v>
      </c>
      <c r="F227" s="408">
        <f t="shared" si="11"/>
        <v>45793979.76</v>
      </c>
      <c r="G227" s="408">
        <f t="shared" si="12"/>
        <v>105701274</v>
      </c>
      <c r="H227" s="410">
        <f>IF(K227&gt;='Pro Forma Detail'!D$66,'Pro Forma Detail'!D$67,'Debt ReFi'!$B$5)</f>
        <v>0.0275</v>
      </c>
      <c r="I227" s="1">
        <f t="shared" si="1"/>
        <v>216</v>
      </c>
      <c r="J227" s="406">
        <f t="shared" si="13"/>
        <v>52201</v>
      </c>
      <c r="K227" s="105">
        <f t="shared" si="9"/>
        <v>22</v>
      </c>
      <c r="L227" s="411">
        <f t="shared" si="10"/>
        <v>489357.75</v>
      </c>
      <c r="M227" s="407">
        <f t="shared" si="2"/>
        <v>351139.0576</v>
      </c>
      <c r="N227" s="407">
        <f t="shared" si="3"/>
        <v>138218.6924</v>
      </c>
      <c r="O227" s="407">
        <f t="shared" si="4"/>
        <v>59962472.16</v>
      </c>
      <c r="P227" s="1"/>
    </row>
    <row r="228" ht="12.75" customHeight="1">
      <c r="A228" s="1">
        <v>217.0</v>
      </c>
      <c r="B228" s="408">
        <f t="shared" si="5"/>
        <v>489357.75</v>
      </c>
      <c r="C228" s="408">
        <f t="shared" si="6"/>
        <v>137413.9987</v>
      </c>
      <c r="D228" s="408">
        <f t="shared" si="7"/>
        <v>351943.7513</v>
      </c>
      <c r="E228" s="176">
        <f t="shared" si="8"/>
        <v>59610528.4</v>
      </c>
      <c r="F228" s="408">
        <f t="shared" si="11"/>
        <v>45931393.76</v>
      </c>
      <c r="G228" s="408">
        <f t="shared" si="12"/>
        <v>106190631.7</v>
      </c>
      <c r="H228" s="410">
        <f>IF(K228&gt;='Pro Forma Detail'!D$66,'Pro Forma Detail'!D$67,'Debt ReFi'!$B$5)</f>
        <v>0.0275</v>
      </c>
      <c r="I228" s="1">
        <f t="shared" si="1"/>
        <v>217</v>
      </c>
      <c r="J228" s="406">
        <f t="shared" si="13"/>
        <v>52232</v>
      </c>
      <c r="K228" s="105">
        <f t="shared" si="9"/>
        <v>23</v>
      </c>
      <c r="L228" s="411">
        <f t="shared" si="10"/>
        <v>489357.75</v>
      </c>
      <c r="M228" s="407">
        <f t="shared" si="2"/>
        <v>351943.7513</v>
      </c>
      <c r="N228" s="407">
        <f t="shared" si="3"/>
        <v>137413.9987</v>
      </c>
      <c r="O228" s="407">
        <f t="shared" si="4"/>
        <v>59610528.4</v>
      </c>
      <c r="P228" s="1"/>
    </row>
    <row r="229" ht="12.75" customHeight="1">
      <c r="A229" s="1">
        <v>218.0</v>
      </c>
      <c r="B229" s="408">
        <f t="shared" si="5"/>
        <v>489357.75</v>
      </c>
      <c r="C229" s="408">
        <f t="shared" si="6"/>
        <v>136607.4609</v>
      </c>
      <c r="D229" s="408">
        <f t="shared" si="7"/>
        <v>352750.289</v>
      </c>
      <c r="E229" s="176">
        <f t="shared" si="8"/>
        <v>59257778.12</v>
      </c>
      <c r="F229" s="408">
        <f t="shared" si="11"/>
        <v>46068001.22</v>
      </c>
      <c r="G229" s="408">
        <f t="shared" si="12"/>
        <v>106679989.5</v>
      </c>
      <c r="H229" s="410">
        <f>IF(K229&gt;='Pro Forma Detail'!D$66,'Pro Forma Detail'!D$67,'Debt ReFi'!$B$5)</f>
        <v>0.0275</v>
      </c>
      <c r="I229" s="1">
        <f t="shared" si="1"/>
        <v>218</v>
      </c>
      <c r="J229" s="406">
        <f t="shared" si="13"/>
        <v>52263</v>
      </c>
      <c r="K229" s="105">
        <f t="shared" si="9"/>
        <v>23</v>
      </c>
      <c r="L229" s="411">
        <f t="shared" si="10"/>
        <v>489357.75</v>
      </c>
      <c r="M229" s="407">
        <f t="shared" si="2"/>
        <v>352750.289</v>
      </c>
      <c r="N229" s="407">
        <f t="shared" si="3"/>
        <v>136607.4609</v>
      </c>
      <c r="O229" s="407">
        <f t="shared" si="4"/>
        <v>59257778.12</v>
      </c>
      <c r="P229" s="1"/>
    </row>
    <row r="230" ht="12.75" customHeight="1">
      <c r="A230" s="1">
        <v>219.0</v>
      </c>
      <c r="B230" s="408">
        <f t="shared" si="5"/>
        <v>489357.75</v>
      </c>
      <c r="C230" s="408">
        <f t="shared" si="6"/>
        <v>135799.0748</v>
      </c>
      <c r="D230" s="408">
        <f t="shared" si="7"/>
        <v>353558.6751</v>
      </c>
      <c r="E230" s="176">
        <f t="shared" si="8"/>
        <v>58904219.44</v>
      </c>
      <c r="F230" s="408">
        <f t="shared" si="11"/>
        <v>46203800.29</v>
      </c>
      <c r="G230" s="408">
        <f t="shared" si="12"/>
        <v>107169347.2</v>
      </c>
      <c r="H230" s="410">
        <f>IF(K230&gt;='Pro Forma Detail'!D$66,'Pro Forma Detail'!D$67,'Debt ReFi'!$B$5)</f>
        <v>0.0275</v>
      </c>
      <c r="I230" s="1">
        <f t="shared" si="1"/>
        <v>219</v>
      </c>
      <c r="J230" s="406">
        <f t="shared" si="13"/>
        <v>52291</v>
      </c>
      <c r="K230" s="105">
        <f t="shared" si="9"/>
        <v>23</v>
      </c>
      <c r="L230" s="411">
        <f t="shared" si="10"/>
        <v>489357.75</v>
      </c>
      <c r="M230" s="407">
        <f t="shared" si="2"/>
        <v>353558.6751</v>
      </c>
      <c r="N230" s="407">
        <f t="shared" si="3"/>
        <v>135799.0748</v>
      </c>
      <c r="O230" s="407">
        <f t="shared" si="4"/>
        <v>58904219.44</v>
      </c>
      <c r="P230" s="1"/>
    </row>
    <row r="231" ht="12.75" customHeight="1">
      <c r="A231" s="1">
        <v>220.0</v>
      </c>
      <c r="B231" s="408">
        <f t="shared" si="5"/>
        <v>489357.75</v>
      </c>
      <c r="C231" s="408">
        <f t="shared" si="6"/>
        <v>134988.8362</v>
      </c>
      <c r="D231" s="408">
        <f t="shared" si="7"/>
        <v>354368.9137</v>
      </c>
      <c r="E231" s="176">
        <f t="shared" si="8"/>
        <v>58549850.53</v>
      </c>
      <c r="F231" s="408">
        <f t="shared" si="11"/>
        <v>46338789.13</v>
      </c>
      <c r="G231" s="408">
        <f t="shared" si="12"/>
        <v>107658705</v>
      </c>
      <c r="H231" s="410">
        <f>IF(K231&gt;='Pro Forma Detail'!D$66,'Pro Forma Detail'!D$67,'Debt ReFi'!$B$5)</f>
        <v>0.0275</v>
      </c>
      <c r="I231" s="1">
        <f t="shared" si="1"/>
        <v>220</v>
      </c>
      <c r="J231" s="406">
        <f t="shared" si="13"/>
        <v>52322</v>
      </c>
      <c r="K231" s="105">
        <f t="shared" si="9"/>
        <v>23</v>
      </c>
      <c r="L231" s="411">
        <f t="shared" si="10"/>
        <v>489357.75</v>
      </c>
      <c r="M231" s="407">
        <f t="shared" si="2"/>
        <v>354368.9137</v>
      </c>
      <c r="N231" s="407">
        <f t="shared" si="3"/>
        <v>134988.8362</v>
      </c>
      <c r="O231" s="407">
        <f t="shared" si="4"/>
        <v>58549850.53</v>
      </c>
      <c r="P231" s="1"/>
    </row>
    <row r="232" ht="12.75" customHeight="1">
      <c r="A232" s="1">
        <v>221.0</v>
      </c>
      <c r="B232" s="408">
        <f t="shared" si="5"/>
        <v>489357.75</v>
      </c>
      <c r="C232" s="408">
        <f t="shared" si="6"/>
        <v>134176.7408</v>
      </c>
      <c r="D232" s="408">
        <f t="shared" si="7"/>
        <v>355181.0092</v>
      </c>
      <c r="E232" s="176">
        <f t="shared" si="8"/>
        <v>58194669.52</v>
      </c>
      <c r="F232" s="408">
        <f t="shared" si="11"/>
        <v>46472965.87</v>
      </c>
      <c r="G232" s="408">
        <f t="shared" si="12"/>
        <v>108148062.7</v>
      </c>
      <c r="H232" s="410">
        <f>IF(K232&gt;='Pro Forma Detail'!D$66,'Pro Forma Detail'!D$67,'Debt ReFi'!$B$5)</f>
        <v>0.0275</v>
      </c>
      <c r="I232" s="1">
        <f t="shared" si="1"/>
        <v>221</v>
      </c>
      <c r="J232" s="406">
        <f t="shared" si="13"/>
        <v>52352</v>
      </c>
      <c r="K232" s="105">
        <f t="shared" si="9"/>
        <v>23</v>
      </c>
      <c r="L232" s="411">
        <f t="shared" si="10"/>
        <v>489357.75</v>
      </c>
      <c r="M232" s="407">
        <f t="shared" si="2"/>
        <v>355181.0092</v>
      </c>
      <c r="N232" s="407">
        <f t="shared" si="3"/>
        <v>134176.7408</v>
      </c>
      <c r="O232" s="407">
        <f t="shared" si="4"/>
        <v>58194669.52</v>
      </c>
      <c r="P232" s="1"/>
    </row>
    <row r="233" ht="12.75" customHeight="1">
      <c r="A233" s="1">
        <v>222.0</v>
      </c>
      <c r="B233" s="408">
        <f t="shared" si="5"/>
        <v>489357.75</v>
      </c>
      <c r="C233" s="408">
        <f t="shared" si="6"/>
        <v>133362.7843</v>
      </c>
      <c r="D233" s="408">
        <f t="shared" si="7"/>
        <v>355994.9656</v>
      </c>
      <c r="E233" s="176">
        <f t="shared" si="8"/>
        <v>57838674.55</v>
      </c>
      <c r="F233" s="408">
        <f t="shared" si="11"/>
        <v>46606328.66</v>
      </c>
      <c r="G233" s="408">
        <f t="shared" si="12"/>
        <v>108637420.5</v>
      </c>
      <c r="H233" s="410">
        <f>IF(K233&gt;='Pro Forma Detail'!D$66,'Pro Forma Detail'!D$67,'Debt ReFi'!$B$5)</f>
        <v>0.0275</v>
      </c>
      <c r="I233" s="1">
        <f t="shared" si="1"/>
        <v>222</v>
      </c>
      <c r="J233" s="406">
        <f t="shared" si="13"/>
        <v>52383</v>
      </c>
      <c r="K233" s="105">
        <f t="shared" si="9"/>
        <v>23</v>
      </c>
      <c r="L233" s="411">
        <f t="shared" si="10"/>
        <v>489357.75</v>
      </c>
      <c r="M233" s="407">
        <f t="shared" si="2"/>
        <v>355994.9656</v>
      </c>
      <c r="N233" s="407">
        <f t="shared" si="3"/>
        <v>133362.7843</v>
      </c>
      <c r="O233" s="407">
        <f t="shared" si="4"/>
        <v>57838674.55</v>
      </c>
      <c r="P233" s="1"/>
    </row>
    <row r="234" ht="12.75" customHeight="1">
      <c r="A234" s="1">
        <v>223.0</v>
      </c>
      <c r="B234" s="408">
        <f t="shared" si="5"/>
        <v>489357.75</v>
      </c>
      <c r="C234" s="408">
        <f t="shared" si="6"/>
        <v>132546.9625</v>
      </c>
      <c r="D234" s="408">
        <f t="shared" si="7"/>
        <v>356810.7874</v>
      </c>
      <c r="E234" s="176">
        <f t="shared" si="8"/>
        <v>57481863.76</v>
      </c>
      <c r="F234" s="408">
        <f t="shared" si="11"/>
        <v>46738875.62</v>
      </c>
      <c r="G234" s="408">
        <f t="shared" si="12"/>
        <v>109126778.2</v>
      </c>
      <c r="H234" s="410">
        <f>IF(K234&gt;='Pro Forma Detail'!D$66,'Pro Forma Detail'!D$67,'Debt ReFi'!$B$5)</f>
        <v>0.0275</v>
      </c>
      <c r="I234" s="1">
        <f t="shared" si="1"/>
        <v>223</v>
      </c>
      <c r="J234" s="406">
        <f t="shared" si="13"/>
        <v>52413</v>
      </c>
      <c r="K234" s="105">
        <f t="shared" si="9"/>
        <v>23</v>
      </c>
      <c r="L234" s="411">
        <f t="shared" si="10"/>
        <v>489357.75</v>
      </c>
      <c r="M234" s="407">
        <f t="shared" si="2"/>
        <v>356810.7874</v>
      </c>
      <c r="N234" s="407">
        <f t="shared" si="3"/>
        <v>132546.9625</v>
      </c>
      <c r="O234" s="407">
        <f t="shared" si="4"/>
        <v>57481863.76</v>
      </c>
      <c r="P234" s="1"/>
    </row>
    <row r="235" ht="12.75" customHeight="1">
      <c r="A235" s="1">
        <v>224.0</v>
      </c>
      <c r="B235" s="408">
        <f t="shared" si="5"/>
        <v>489357.75</v>
      </c>
      <c r="C235" s="408">
        <f t="shared" si="6"/>
        <v>131729.2711</v>
      </c>
      <c r="D235" s="408">
        <f t="shared" si="7"/>
        <v>357628.4788</v>
      </c>
      <c r="E235" s="176">
        <f t="shared" si="8"/>
        <v>57124235.29</v>
      </c>
      <c r="F235" s="408">
        <f t="shared" si="11"/>
        <v>46870604.89</v>
      </c>
      <c r="G235" s="408">
        <f t="shared" si="12"/>
        <v>109616136</v>
      </c>
      <c r="H235" s="410">
        <f>IF(K235&gt;='Pro Forma Detail'!D$66,'Pro Forma Detail'!D$67,'Debt ReFi'!$B$5)</f>
        <v>0.0275</v>
      </c>
      <c r="I235" s="1">
        <f t="shared" si="1"/>
        <v>224</v>
      </c>
      <c r="J235" s="406">
        <f t="shared" si="13"/>
        <v>52444</v>
      </c>
      <c r="K235" s="105">
        <f t="shared" si="9"/>
        <v>23</v>
      </c>
      <c r="L235" s="411">
        <f t="shared" si="10"/>
        <v>489357.75</v>
      </c>
      <c r="M235" s="407">
        <f t="shared" si="2"/>
        <v>357628.4788</v>
      </c>
      <c r="N235" s="407">
        <f t="shared" si="3"/>
        <v>131729.2711</v>
      </c>
      <c r="O235" s="407">
        <f t="shared" si="4"/>
        <v>57124235.29</v>
      </c>
      <c r="P235" s="1"/>
    </row>
    <row r="236" ht="12.75" customHeight="1">
      <c r="A236" s="1">
        <v>225.0</v>
      </c>
      <c r="B236" s="408">
        <f t="shared" si="5"/>
        <v>489357.75</v>
      </c>
      <c r="C236" s="408">
        <f t="shared" si="6"/>
        <v>130909.7059</v>
      </c>
      <c r="D236" s="408">
        <f t="shared" si="7"/>
        <v>358448.0441</v>
      </c>
      <c r="E236" s="176">
        <f t="shared" si="8"/>
        <v>56765787.24</v>
      </c>
      <c r="F236" s="408">
        <f t="shared" si="11"/>
        <v>47001514.59</v>
      </c>
      <c r="G236" s="408">
        <f t="shared" si="12"/>
        <v>110105493.7</v>
      </c>
      <c r="H236" s="410">
        <f>IF(K236&gt;='Pro Forma Detail'!D$66,'Pro Forma Detail'!D$67,'Debt ReFi'!$B$5)</f>
        <v>0.0275</v>
      </c>
      <c r="I236" s="1">
        <f t="shared" si="1"/>
        <v>225</v>
      </c>
      <c r="J236" s="406">
        <f t="shared" si="13"/>
        <v>52475</v>
      </c>
      <c r="K236" s="105">
        <f t="shared" si="9"/>
        <v>23</v>
      </c>
      <c r="L236" s="411">
        <f t="shared" si="10"/>
        <v>489357.75</v>
      </c>
      <c r="M236" s="407">
        <f t="shared" si="2"/>
        <v>358448.0441</v>
      </c>
      <c r="N236" s="407">
        <f t="shared" si="3"/>
        <v>130909.7059</v>
      </c>
      <c r="O236" s="407">
        <f t="shared" si="4"/>
        <v>56765787.24</v>
      </c>
      <c r="P236" s="1"/>
    </row>
    <row r="237" ht="12.75" customHeight="1">
      <c r="A237" s="1">
        <v>226.0</v>
      </c>
      <c r="B237" s="408">
        <f t="shared" si="5"/>
        <v>489357.75</v>
      </c>
      <c r="C237" s="408">
        <f t="shared" si="6"/>
        <v>130088.2624</v>
      </c>
      <c r="D237" s="408">
        <f t="shared" si="7"/>
        <v>359269.4875</v>
      </c>
      <c r="E237" s="176">
        <f t="shared" si="8"/>
        <v>56406517.75</v>
      </c>
      <c r="F237" s="408">
        <f t="shared" si="11"/>
        <v>47131602.86</v>
      </c>
      <c r="G237" s="408">
        <f t="shared" si="12"/>
        <v>110594851.5</v>
      </c>
      <c r="H237" s="410">
        <f>IF(K237&gt;='Pro Forma Detail'!D$66,'Pro Forma Detail'!D$67,'Debt ReFi'!$B$5)</f>
        <v>0.0275</v>
      </c>
      <c r="I237" s="1">
        <f t="shared" si="1"/>
        <v>226</v>
      </c>
      <c r="J237" s="406">
        <f t="shared" si="13"/>
        <v>52505</v>
      </c>
      <c r="K237" s="105">
        <f t="shared" si="9"/>
        <v>23</v>
      </c>
      <c r="L237" s="411">
        <f t="shared" si="10"/>
        <v>489357.75</v>
      </c>
      <c r="M237" s="407">
        <f t="shared" si="2"/>
        <v>359269.4875</v>
      </c>
      <c r="N237" s="407">
        <f t="shared" si="3"/>
        <v>130088.2624</v>
      </c>
      <c r="O237" s="407">
        <f t="shared" si="4"/>
        <v>56406517.75</v>
      </c>
      <c r="P237" s="1"/>
    </row>
    <row r="238" ht="12.75" customHeight="1">
      <c r="A238" s="1">
        <v>227.0</v>
      </c>
      <c r="B238" s="408">
        <f t="shared" si="5"/>
        <v>489357.75</v>
      </c>
      <c r="C238" s="408">
        <f t="shared" si="6"/>
        <v>129264.9365</v>
      </c>
      <c r="D238" s="408">
        <f t="shared" si="7"/>
        <v>360092.8134</v>
      </c>
      <c r="E238" s="176">
        <f t="shared" si="8"/>
        <v>56046424.94</v>
      </c>
      <c r="F238" s="408">
        <f t="shared" si="11"/>
        <v>47260867.79</v>
      </c>
      <c r="G238" s="408">
        <f t="shared" si="12"/>
        <v>111084209.2</v>
      </c>
      <c r="H238" s="410">
        <f>IF(K238&gt;='Pro Forma Detail'!D$66,'Pro Forma Detail'!D$67,'Debt ReFi'!$B$5)</f>
        <v>0.0275</v>
      </c>
      <c r="I238" s="1">
        <f t="shared" si="1"/>
        <v>227</v>
      </c>
      <c r="J238" s="406">
        <f t="shared" si="13"/>
        <v>52536</v>
      </c>
      <c r="K238" s="105">
        <f t="shared" si="9"/>
        <v>23</v>
      </c>
      <c r="L238" s="411">
        <f t="shared" si="10"/>
        <v>489357.75</v>
      </c>
      <c r="M238" s="407">
        <f t="shared" si="2"/>
        <v>360092.8134</v>
      </c>
      <c r="N238" s="407">
        <f t="shared" si="3"/>
        <v>129264.9365</v>
      </c>
      <c r="O238" s="407">
        <f t="shared" si="4"/>
        <v>56046424.94</v>
      </c>
      <c r="P238" s="1"/>
    </row>
    <row r="239" ht="12.75" customHeight="1">
      <c r="A239" s="1">
        <v>228.0</v>
      </c>
      <c r="B239" s="408">
        <f t="shared" si="5"/>
        <v>489357.75</v>
      </c>
      <c r="C239" s="408">
        <f t="shared" si="6"/>
        <v>128439.7238</v>
      </c>
      <c r="D239" s="408">
        <f t="shared" si="7"/>
        <v>360918.0261</v>
      </c>
      <c r="E239" s="176">
        <f t="shared" si="8"/>
        <v>55685506.91</v>
      </c>
      <c r="F239" s="408">
        <f t="shared" si="11"/>
        <v>47389307.52</v>
      </c>
      <c r="G239" s="408">
        <f t="shared" si="12"/>
        <v>111573567</v>
      </c>
      <c r="H239" s="410">
        <f>IF(K239&gt;='Pro Forma Detail'!D$66,'Pro Forma Detail'!D$67,'Debt ReFi'!$B$5)</f>
        <v>0.0275</v>
      </c>
      <c r="I239" s="1">
        <f t="shared" si="1"/>
        <v>228</v>
      </c>
      <c r="J239" s="406">
        <f t="shared" si="13"/>
        <v>52566</v>
      </c>
      <c r="K239" s="105">
        <f t="shared" si="9"/>
        <v>23</v>
      </c>
      <c r="L239" s="411">
        <f t="shared" si="10"/>
        <v>489357.75</v>
      </c>
      <c r="M239" s="407">
        <f t="shared" si="2"/>
        <v>360918.0261</v>
      </c>
      <c r="N239" s="407">
        <f t="shared" si="3"/>
        <v>128439.7238</v>
      </c>
      <c r="O239" s="407">
        <f t="shared" si="4"/>
        <v>55685506.91</v>
      </c>
      <c r="P239" s="1"/>
    </row>
    <row r="240" ht="12.75" customHeight="1">
      <c r="A240" s="1">
        <v>229.0</v>
      </c>
      <c r="B240" s="408">
        <f t="shared" si="5"/>
        <v>489357.75</v>
      </c>
      <c r="C240" s="408">
        <f t="shared" si="6"/>
        <v>127612.62</v>
      </c>
      <c r="D240" s="408">
        <f t="shared" si="7"/>
        <v>361745.1299</v>
      </c>
      <c r="E240" s="176">
        <f t="shared" si="8"/>
        <v>55323761.78</v>
      </c>
      <c r="F240" s="408">
        <f t="shared" si="11"/>
        <v>47516920.14</v>
      </c>
      <c r="G240" s="408">
        <f t="shared" si="12"/>
        <v>112062924.7</v>
      </c>
      <c r="H240" s="410">
        <f>IF(K240&gt;='Pro Forma Detail'!D$66,'Pro Forma Detail'!D$67,'Debt ReFi'!$B$5)</f>
        <v>0.0275</v>
      </c>
      <c r="I240" s="1">
        <f t="shared" si="1"/>
        <v>229</v>
      </c>
      <c r="J240" s="406">
        <f t="shared" si="13"/>
        <v>52597</v>
      </c>
      <c r="K240" s="105">
        <f t="shared" si="9"/>
        <v>24</v>
      </c>
      <c r="L240" s="411">
        <f t="shared" si="10"/>
        <v>489357.75</v>
      </c>
      <c r="M240" s="407">
        <f t="shared" si="2"/>
        <v>361745.1299</v>
      </c>
      <c r="N240" s="407">
        <f t="shared" si="3"/>
        <v>127612.62</v>
      </c>
      <c r="O240" s="407">
        <f t="shared" si="4"/>
        <v>55323761.78</v>
      </c>
      <c r="P240" s="1"/>
    </row>
    <row r="241" ht="12.75" customHeight="1">
      <c r="A241" s="1">
        <v>230.0</v>
      </c>
      <c r="B241" s="408">
        <f t="shared" si="5"/>
        <v>489357.75</v>
      </c>
      <c r="C241" s="408">
        <f t="shared" si="6"/>
        <v>126783.6208</v>
      </c>
      <c r="D241" s="408">
        <f t="shared" si="7"/>
        <v>362574.1292</v>
      </c>
      <c r="E241" s="176">
        <f t="shared" si="8"/>
        <v>54961187.65</v>
      </c>
      <c r="F241" s="408">
        <f t="shared" si="11"/>
        <v>47643703.76</v>
      </c>
      <c r="G241" s="408">
        <f t="shared" si="12"/>
        <v>112552282.5</v>
      </c>
      <c r="H241" s="410">
        <f>IF(K241&gt;='Pro Forma Detail'!D$66,'Pro Forma Detail'!D$67,'Debt ReFi'!$B$5)</f>
        <v>0.0275</v>
      </c>
      <c r="I241" s="1">
        <f t="shared" si="1"/>
        <v>230</v>
      </c>
      <c r="J241" s="406">
        <f t="shared" si="13"/>
        <v>52628</v>
      </c>
      <c r="K241" s="105">
        <f t="shared" si="9"/>
        <v>24</v>
      </c>
      <c r="L241" s="411">
        <f t="shared" si="10"/>
        <v>489357.75</v>
      </c>
      <c r="M241" s="407">
        <f t="shared" si="2"/>
        <v>362574.1292</v>
      </c>
      <c r="N241" s="407">
        <f t="shared" si="3"/>
        <v>126783.6208</v>
      </c>
      <c r="O241" s="407">
        <f t="shared" si="4"/>
        <v>54961187.65</v>
      </c>
      <c r="P241" s="1"/>
    </row>
    <row r="242" ht="12.75" customHeight="1">
      <c r="A242" s="1">
        <v>231.0</v>
      </c>
      <c r="B242" s="408">
        <f t="shared" si="5"/>
        <v>489357.75</v>
      </c>
      <c r="C242" s="408">
        <f t="shared" si="6"/>
        <v>125952.7217</v>
      </c>
      <c r="D242" s="408">
        <f t="shared" si="7"/>
        <v>363405.0282</v>
      </c>
      <c r="E242" s="176">
        <f t="shared" si="8"/>
        <v>54597782.63</v>
      </c>
      <c r="F242" s="408">
        <f t="shared" si="11"/>
        <v>47769656.48</v>
      </c>
      <c r="G242" s="408">
        <f t="shared" si="12"/>
        <v>113041640.2</v>
      </c>
      <c r="H242" s="410">
        <f>IF(K242&gt;='Pro Forma Detail'!D$66,'Pro Forma Detail'!D$67,'Debt ReFi'!$B$5)</f>
        <v>0.0275</v>
      </c>
      <c r="I242" s="1">
        <f t="shared" si="1"/>
        <v>231</v>
      </c>
      <c r="J242" s="406">
        <f t="shared" si="13"/>
        <v>52657</v>
      </c>
      <c r="K242" s="105">
        <f t="shared" si="9"/>
        <v>24</v>
      </c>
      <c r="L242" s="411">
        <f t="shared" si="10"/>
        <v>489357.75</v>
      </c>
      <c r="M242" s="407">
        <f t="shared" si="2"/>
        <v>363405.0282</v>
      </c>
      <c r="N242" s="407">
        <f t="shared" si="3"/>
        <v>125952.7217</v>
      </c>
      <c r="O242" s="407">
        <f t="shared" si="4"/>
        <v>54597782.63</v>
      </c>
      <c r="P242" s="1"/>
    </row>
    <row r="243" ht="12.75" customHeight="1">
      <c r="A243" s="1">
        <v>232.0</v>
      </c>
      <c r="B243" s="408">
        <f t="shared" si="5"/>
        <v>489357.75</v>
      </c>
      <c r="C243" s="408">
        <f t="shared" si="6"/>
        <v>125119.9185</v>
      </c>
      <c r="D243" s="408">
        <f t="shared" si="7"/>
        <v>364237.8314</v>
      </c>
      <c r="E243" s="176">
        <f t="shared" si="8"/>
        <v>54233544.8</v>
      </c>
      <c r="F243" s="408">
        <f t="shared" si="11"/>
        <v>47894776.4</v>
      </c>
      <c r="G243" s="408">
        <f t="shared" si="12"/>
        <v>113530998</v>
      </c>
      <c r="H243" s="410">
        <f>IF(K243&gt;='Pro Forma Detail'!D$66,'Pro Forma Detail'!D$67,'Debt ReFi'!$B$5)</f>
        <v>0.0275</v>
      </c>
      <c r="I243" s="1">
        <f t="shared" si="1"/>
        <v>232</v>
      </c>
      <c r="J243" s="406">
        <f t="shared" si="13"/>
        <v>52688</v>
      </c>
      <c r="K243" s="105">
        <f t="shared" si="9"/>
        <v>24</v>
      </c>
      <c r="L243" s="411">
        <f t="shared" si="10"/>
        <v>489357.75</v>
      </c>
      <c r="M243" s="407">
        <f t="shared" si="2"/>
        <v>364237.8314</v>
      </c>
      <c r="N243" s="407">
        <f t="shared" si="3"/>
        <v>125119.9185</v>
      </c>
      <c r="O243" s="407">
        <f t="shared" si="4"/>
        <v>54233544.8</v>
      </c>
      <c r="P243" s="1"/>
    </row>
    <row r="244" ht="12.75" customHeight="1">
      <c r="A244" s="1">
        <v>233.0</v>
      </c>
      <c r="B244" s="408">
        <f t="shared" si="5"/>
        <v>489357.75</v>
      </c>
      <c r="C244" s="408">
        <f t="shared" si="6"/>
        <v>124285.2068</v>
      </c>
      <c r="D244" s="408">
        <f t="shared" si="7"/>
        <v>365072.5431</v>
      </c>
      <c r="E244" s="176">
        <f t="shared" si="8"/>
        <v>53868472.25</v>
      </c>
      <c r="F244" s="408">
        <f t="shared" si="11"/>
        <v>48019061.61</v>
      </c>
      <c r="G244" s="408">
        <f t="shared" si="12"/>
        <v>114020355.7</v>
      </c>
      <c r="H244" s="410">
        <f>IF(K244&gt;='Pro Forma Detail'!D$66,'Pro Forma Detail'!D$67,'Debt ReFi'!$B$5)</f>
        <v>0.0275</v>
      </c>
      <c r="I244" s="1">
        <f t="shared" si="1"/>
        <v>233</v>
      </c>
      <c r="J244" s="406">
        <f t="shared" si="13"/>
        <v>52718</v>
      </c>
      <c r="K244" s="105">
        <f t="shared" si="9"/>
        <v>24</v>
      </c>
      <c r="L244" s="411">
        <f t="shared" si="10"/>
        <v>489357.75</v>
      </c>
      <c r="M244" s="407">
        <f t="shared" si="2"/>
        <v>365072.5431</v>
      </c>
      <c r="N244" s="407">
        <f t="shared" si="3"/>
        <v>124285.2068</v>
      </c>
      <c r="O244" s="407">
        <f t="shared" si="4"/>
        <v>53868472.25</v>
      </c>
      <c r="P244" s="1"/>
    </row>
    <row r="245" ht="12.75" customHeight="1">
      <c r="A245" s="1">
        <v>234.0</v>
      </c>
      <c r="B245" s="408">
        <f t="shared" si="5"/>
        <v>489357.75</v>
      </c>
      <c r="C245" s="408">
        <f t="shared" si="6"/>
        <v>123448.5822</v>
      </c>
      <c r="D245" s="408">
        <f t="shared" si="7"/>
        <v>365909.1677</v>
      </c>
      <c r="E245" s="176">
        <f t="shared" si="8"/>
        <v>53502563.08</v>
      </c>
      <c r="F245" s="408">
        <f t="shared" si="11"/>
        <v>48142510.19</v>
      </c>
      <c r="G245" s="408">
        <f t="shared" si="12"/>
        <v>114509713.5</v>
      </c>
      <c r="H245" s="410">
        <f>IF(K245&gt;='Pro Forma Detail'!D$66,'Pro Forma Detail'!D$67,'Debt ReFi'!$B$5)</f>
        <v>0.0275</v>
      </c>
      <c r="I245" s="1">
        <f t="shared" si="1"/>
        <v>234</v>
      </c>
      <c r="J245" s="406">
        <f t="shared" si="13"/>
        <v>52749</v>
      </c>
      <c r="K245" s="105">
        <f t="shared" si="9"/>
        <v>24</v>
      </c>
      <c r="L245" s="411">
        <f t="shared" si="10"/>
        <v>489357.75</v>
      </c>
      <c r="M245" s="407">
        <f t="shared" si="2"/>
        <v>365909.1677</v>
      </c>
      <c r="N245" s="407">
        <f t="shared" si="3"/>
        <v>123448.5822</v>
      </c>
      <c r="O245" s="407">
        <f t="shared" si="4"/>
        <v>53502563.08</v>
      </c>
      <c r="P245" s="1"/>
    </row>
    <row r="246" ht="12.75" customHeight="1">
      <c r="A246" s="1">
        <v>235.0</v>
      </c>
      <c r="B246" s="408">
        <f t="shared" si="5"/>
        <v>489357.75</v>
      </c>
      <c r="C246" s="408">
        <f t="shared" si="6"/>
        <v>122610.0404</v>
      </c>
      <c r="D246" s="408">
        <f t="shared" si="7"/>
        <v>366747.7096</v>
      </c>
      <c r="E246" s="176">
        <f t="shared" si="8"/>
        <v>53135815.37</v>
      </c>
      <c r="F246" s="408">
        <f t="shared" si="11"/>
        <v>48265120.23</v>
      </c>
      <c r="G246" s="408">
        <f t="shared" si="12"/>
        <v>114999071.2</v>
      </c>
      <c r="H246" s="410">
        <f>IF(K246&gt;='Pro Forma Detail'!D$66,'Pro Forma Detail'!D$67,'Debt ReFi'!$B$5)</f>
        <v>0.0275</v>
      </c>
      <c r="I246" s="1">
        <f t="shared" si="1"/>
        <v>235</v>
      </c>
      <c r="J246" s="406">
        <f t="shared" si="13"/>
        <v>52779</v>
      </c>
      <c r="K246" s="105">
        <f t="shared" si="9"/>
        <v>24</v>
      </c>
      <c r="L246" s="411">
        <f t="shared" si="10"/>
        <v>489357.75</v>
      </c>
      <c r="M246" s="407">
        <f t="shared" si="2"/>
        <v>366747.7096</v>
      </c>
      <c r="N246" s="407">
        <f t="shared" si="3"/>
        <v>122610.0404</v>
      </c>
      <c r="O246" s="407">
        <f t="shared" si="4"/>
        <v>53135815.37</v>
      </c>
      <c r="P246" s="1"/>
    </row>
    <row r="247" ht="12.75" customHeight="1">
      <c r="A247" s="1">
        <v>236.0</v>
      </c>
      <c r="B247" s="408">
        <f t="shared" si="5"/>
        <v>489357.75</v>
      </c>
      <c r="C247" s="408">
        <f t="shared" si="6"/>
        <v>121769.5769</v>
      </c>
      <c r="D247" s="408">
        <f t="shared" si="7"/>
        <v>367588.1731</v>
      </c>
      <c r="E247" s="176">
        <f t="shared" si="8"/>
        <v>52768227.2</v>
      </c>
      <c r="F247" s="408">
        <f t="shared" si="11"/>
        <v>48386889.8</v>
      </c>
      <c r="G247" s="408">
        <f t="shared" si="12"/>
        <v>115488429</v>
      </c>
      <c r="H247" s="410">
        <f>IF(K247&gt;='Pro Forma Detail'!D$66,'Pro Forma Detail'!D$67,'Debt ReFi'!$B$5)</f>
        <v>0.0275</v>
      </c>
      <c r="I247" s="1">
        <f t="shared" si="1"/>
        <v>236</v>
      </c>
      <c r="J247" s="406">
        <f t="shared" si="13"/>
        <v>52810</v>
      </c>
      <c r="K247" s="105">
        <f t="shared" si="9"/>
        <v>24</v>
      </c>
      <c r="L247" s="411">
        <f t="shared" si="10"/>
        <v>489357.75</v>
      </c>
      <c r="M247" s="407">
        <f t="shared" si="2"/>
        <v>367588.1731</v>
      </c>
      <c r="N247" s="407">
        <f t="shared" si="3"/>
        <v>121769.5769</v>
      </c>
      <c r="O247" s="407">
        <f t="shared" si="4"/>
        <v>52768227.2</v>
      </c>
      <c r="P247" s="1"/>
    </row>
    <row r="248" ht="12.75" customHeight="1">
      <c r="A248" s="1">
        <v>237.0</v>
      </c>
      <c r="B248" s="408">
        <f t="shared" si="5"/>
        <v>489357.75</v>
      </c>
      <c r="C248" s="408">
        <f t="shared" si="6"/>
        <v>120927.1873</v>
      </c>
      <c r="D248" s="408">
        <f t="shared" si="7"/>
        <v>368430.5626</v>
      </c>
      <c r="E248" s="176">
        <f t="shared" si="8"/>
        <v>52399796.64</v>
      </c>
      <c r="F248" s="408">
        <f t="shared" si="11"/>
        <v>48507816.99</v>
      </c>
      <c r="G248" s="408">
        <f t="shared" si="12"/>
        <v>115977786.7</v>
      </c>
      <c r="H248" s="410">
        <f>IF(K248&gt;='Pro Forma Detail'!D$66,'Pro Forma Detail'!D$67,'Debt ReFi'!$B$5)</f>
        <v>0.0275</v>
      </c>
      <c r="I248" s="1">
        <f t="shared" si="1"/>
        <v>237</v>
      </c>
      <c r="J248" s="406">
        <f t="shared" si="13"/>
        <v>52841</v>
      </c>
      <c r="K248" s="105">
        <f t="shared" si="9"/>
        <v>24</v>
      </c>
      <c r="L248" s="411">
        <f t="shared" si="10"/>
        <v>489357.75</v>
      </c>
      <c r="M248" s="407">
        <f t="shared" si="2"/>
        <v>368430.5626</v>
      </c>
      <c r="N248" s="407">
        <f t="shared" si="3"/>
        <v>120927.1873</v>
      </c>
      <c r="O248" s="407">
        <f t="shared" si="4"/>
        <v>52399796.64</v>
      </c>
      <c r="P248" s="1"/>
    </row>
    <row r="249" ht="12.75" customHeight="1">
      <c r="A249" s="1">
        <v>238.0</v>
      </c>
      <c r="B249" s="408">
        <f t="shared" si="5"/>
        <v>489357.75</v>
      </c>
      <c r="C249" s="408">
        <f t="shared" si="6"/>
        <v>120082.8673</v>
      </c>
      <c r="D249" s="408">
        <f t="shared" si="7"/>
        <v>369274.8827</v>
      </c>
      <c r="E249" s="176">
        <f t="shared" si="8"/>
        <v>52030521.76</v>
      </c>
      <c r="F249" s="408">
        <f t="shared" si="11"/>
        <v>48627899.86</v>
      </c>
      <c r="G249" s="408">
        <f t="shared" si="12"/>
        <v>116467144.5</v>
      </c>
      <c r="H249" s="410">
        <f>IF(K249&gt;='Pro Forma Detail'!D$66,'Pro Forma Detail'!D$67,'Debt ReFi'!$B$5)</f>
        <v>0.0275</v>
      </c>
      <c r="I249" s="1">
        <f t="shared" si="1"/>
        <v>238</v>
      </c>
      <c r="J249" s="406">
        <f t="shared" si="13"/>
        <v>52871</v>
      </c>
      <c r="K249" s="105">
        <f t="shared" si="9"/>
        <v>24</v>
      </c>
      <c r="L249" s="411">
        <f t="shared" si="10"/>
        <v>489357.75</v>
      </c>
      <c r="M249" s="407">
        <f t="shared" si="2"/>
        <v>369274.8827</v>
      </c>
      <c r="N249" s="407">
        <f t="shared" si="3"/>
        <v>120082.8673</v>
      </c>
      <c r="O249" s="407">
        <f t="shared" si="4"/>
        <v>52030521.76</v>
      </c>
      <c r="P249" s="1"/>
    </row>
    <row r="250" ht="12.75" customHeight="1">
      <c r="A250" s="1">
        <v>239.0</v>
      </c>
      <c r="B250" s="408">
        <f t="shared" si="5"/>
        <v>489357.75</v>
      </c>
      <c r="C250" s="408">
        <f t="shared" si="6"/>
        <v>119236.6124</v>
      </c>
      <c r="D250" s="408">
        <f t="shared" si="7"/>
        <v>370121.1376</v>
      </c>
      <c r="E250" s="176">
        <f t="shared" si="8"/>
        <v>51660400.62</v>
      </c>
      <c r="F250" s="408">
        <f t="shared" si="11"/>
        <v>48747136.47</v>
      </c>
      <c r="G250" s="408">
        <f t="shared" si="12"/>
        <v>116956502.2</v>
      </c>
      <c r="H250" s="410">
        <f>IF(K250&gt;='Pro Forma Detail'!D$66,'Pro Forma Detail'!D$67,'Debt ReFi'!$B$5)</f>
        <v>0.0275</v>
      </c>
      <c r="I250" s="1">
        <f t="shared" si="1"/>
        <v>239</v>
      </c>
      <c r="J250" s="406">
        <f t="shared" si="13"/>
        <v>52902</v>
      </c>
      <c r="K250" s="105">
        <f t="shared" si="9"/>
        <v>24</v>
      </c>
      <c r="L250" s="411">
        <f t="shared" si="10"/>
        <v>489357.75</v>
      </c>
      <c r="M250" s="407">
        <f t="shared" si="2"/>
        <v>370121.1376</v>
      </c>
      <c r="N250" s="407">
        <f t="shared" si="3"/>
        <v>119236.6124</v>
      </c>
      <c r="O250" s="407">
        <f t="shared" si="4"/>
        <v>51660400.62</v>
      </c>
      <c r="P250" s="1"/>
    </row>
    <row r="251" ht="12.75" customHeight="1">
      <c r="A251" s="1">
        <v>240.0</v>
      </c>
      <c r="B251" s="408">
        <f t="shared" si="5"/>
        <v>489357.75</v>
      </c>
      <c r="C251" s="408">
        <f t="shared" si="6"/>
        <v>118388.4181</v>
      </c>
      <c r="D251" s="408">
        <f t="shared" si="7"/>
        <v>370969.3319</v>
      </c>
      <c r="E251" s="176">
        <f t="shared" si="8"/>
        <v>51289431.29</v>
      </c>
      <c r="F251" s="408">
        <f t="shared" si="11"/>
        <v>48865524.89</v>
      </c>
      <c r="G251" s="408">
        <f t="shared" si="12"/>
        <v>117445860</v>
      </c>
      <c r="H251" s="410">
        <f>IF(K251&gt;='Pro Forma Detail'!D$66,'Pro Forma Detail'!D$67,'Debt ReFi'!$B$5)</f>
        <v>0.0275</v>
      </c>
      <c r="I251" s="1">
        <f t="shared" si="1"/>
        <v>240</v>
      </c>
      <c r="J251" s="406">
        <f t="shared" si="13"/>
        <v>52932</v>
      </c>
      <c r="K251" s="105">
        <f t="shared" si="9"/>
        <v>24</v>
      </c>
      <c r="L251" s="411">
        <f t="shared" si="10"/>
        <v>489357.75</v>
      </c>
      <c r="M251" s="407">
        <f t="shared" si="2"/>
        <v>370969.3319</v>
      </c>
      <c r="N251" s="407">
        <f t="shared" si="3"/>
        <v>118388.4181</v>
      </c>
      <c r="O251" s="407">
        <f t="shared" si="4"/>
        <v>51289431.29</v>
      </c>
      <c r="P251" s="1"/>
    </row>
    <row r="252" ht="12.75" customHeight="1">
      <c r="A252" s="1">
        <v>241.0</v>
      </c>
      <c r="B252" s="408">
        <f t="shared" si="5"/>
        <v>489357.75</v>
      </c>
      <c r="C252" s="408">
        <f t="shared" si="6"/>
        <v>117538.28</v>
      </c>
      <c r="D252" s="408">
        <f t="shared" si="7"/>
        <v>371819.4699</v>
      </c>
      <c r="E252" s="176">
        <f t="shared" si="8"/>
        <v>50917611.82</v>
      </c>
      <c r="F252" s="408">
        <f t="shared" si="11"/>
        <v>48983063.17</v>
      </c>
      <c r="G252" s="408">
        <f t="shared" si="12"/>
        <v>117935217.7</v>
      </c>
      <c r="H252" s="410">
        <f>IF(K252&gt;='Pro Forma Detail'!D$66,'Pro Forma Detail'!D$67,'Debt ReFi'!$B$5)</f>
        <v>0.0275</v>
      </c>
      <c r="I252" s="1">
        <f t="shared" si="1"/>
        <v>241</v>
      </c>
      <c r="J252" s="406">
        <f t="shared" si="13"/>
        <v>52963</v>
      </c>
      <c r="K252" s="105">
        <f t="shared" si="9"/>
        <v>25</v>
      </c>
      <c r="L252" s="411">
        <f t="shared" si="10"/>
        <v>489357.75</v>
      </c>
      <c r="M252" s="407">
        <f t="shared" si="2"/>
        <v>371819.4699</v>
      </c>
      <c r="N252" s="407">
        <f t="shared" si="3"/>
        <v>117538.28</v>
      </c>
      <c r="O252" s="407">
        <f t="shared" si="4"/>
        <v>50917611.82</v>
      </c>
      <c r="P252" s="1"/>
    </row>
    <row r="253" ht="12.75" customHeight="1">
      <c r="A253" s="1">
        <v>242.0</v>
      </c>
      <c r="B253" s="408">
        <f t="shared" si="5"/>
        <v>489357.75</v>
      </c>
      <c r="C253" s="408">
        <f t="shared" si="6"/>
        <v>116686.1937</v>
      </c>
      <c r="D253" s="408">
        <f t="shared" si="7"/>
        <v>372671.5562</v>
      </c>
      <c r="E253" s="176">
        <f t="shared" si="8"/>
        <v>50544940.26</v>
      </c>
      <c r="F253" s="408">
        <f t="shared" si="11"/>
        <v>49099749.36</v>
      </c>
      <c r="G253" s="408">
        <f t="shared" si="12"/>
        <v>118424575.5</v>
      </c>
      <c r="H253" s="410">
        <f>IF(K253&gt;='Pro Forma Detail'!D$66,'Pro Forma Detail'!D$67,'Debt ReFi'!$B$5)</f>
        <v>0.0275</v>
      </c>
      <c r="I253" s="1">
        <f t="shared" si="1"/>
        <v>242</v>
      </c>
      <c r="J253" s="406">
        <f t="shared" si="13"/>
        <v>52994</v>
      </c>
      <c r="K253" s="105">
        <f t="shared" si="9"/>
        <v>25</v>
      </c>
      <c r="L253" s="411">
        <f t="shared" si="10"/>
        <v>489357.75</v>
      </c>
      <c r="M253" s="407">
        <f t="shared" si="2"/>
        <v>372671.5562</v>
      </c>
      <c r="N253" s="407">
        <f t="shared" si="3"/>
        <v>116686.1937</v>
      </c>
      <c r="O253" s="407">
        <f t="shared" si="4"/>
        <v>50544940.26</v>
      </c>
      <c r="P253" s="1"/>
    </row>
    <row r="254" ht="12.75" customHeight="1">
      <c r="A254" s="1">
        <v>243.0</v>
      </c>
      <c r="B254" s="408">
        <f t="shared" si="5"/>
        <v>489357.75</v>
      </c>
      <c r="C254" s="408">
        <f t="shared" si="6"/>
        <v>115832.1548</v>
      </c>
      <c r="D254" s="408">
        <f t="shared" si="7"/>
        <v>373525.5952</v>
      </c>
      <c r="E254" s="176">
        <f t="shared" si="8"/>
        <v>50171414.67</v>
      </c>
      <c r="F254" s="408">
        <f t="shared" si="11"/>
        <v>49215581.52</v>
      </c>
      <c r="G254" s="408">
        <f t="shared" si="12"/>
        <v>118913933.2</v>
      </c>
      <c r="H254" s="410">
        <f>IF(K254&gt;='Pro Forma Detail'!D$66,'Pro Forma Detail'!D$67,'Debt ReFi'!$B$5)</f>
        <v>0.0275</v>
      </c>
      <c r="I254" s="1">
        <f t="shared" si="1"/>
        <v>243</v>
      </c>
      <c r="J254" s="406">
        <f t="shared" si="13"/>
        <v>53022</v>
      </c>
      <c r="K254" s="105">
        <f t="shared" si="9"/>
        <v>25</v>
      </c>
      <c r="L254" s="411">
        <f t="shared" si="10"/>
        <v>489357.75</v>
      </c>
      <c r="M254" s="407">
        <f t="shared" si="2"/>
        <v>373525.5952</v>
      </c>
      <c r="N254" s="407">
        <f t="shared" si="3"/>
        <v>115832.1548</v>
      </c>
      <c r="O254" s="407">
        <f t="shared" si="4"/>
        <v>50171414.67</v>
      </c>
      <c r="P254" s="1"/>
    </row>
    <row r="255" ht="12.75" customHeight="1">
      <c r="A255" s="1">
        <v>244.0</v>
      </c>
      <c r="B255" s="408">
        <f t="shared" si="5"/>
        <v>489357.75</v>
      </c>
      <c r="C255" s="408">
        <f t="shared" si="6"/>
        <v>114976.1586</v>
      </c>
      <c r="D255" s="408">
        <f t="shared" si="7"/>
        <v>374381.5913</v>
      </c>
      <c r="E255" s="176">
        <f t="shared" si="8"/>
        <v>49797033.07</v>
      </c>
      <c r="F255" s="408">
        <f t="shared" si="11"/>
        <v>49330557.68</v>
      </c>
      <c r="G255" s="408">
        <f t="shared" si="12"/>
        <v>119403291</v>
      </c>
      <c r="H255" s="410">
        <f>IF(K255&gt;='Pro Forma Detail'!D$66,'Pro Forma Detail'!D$67,'Debt ReFi'!$B$5)</f>
        <v>0.0275</v>
      </c>
      <c r="I255" s="1">
        <f t="shared" si="1"/>
        <v>244</v>
      </c>
      <c r="J255" s="406">
        <f t="shared" si="13"/>
        <v>53053</v>
      </c>
      <c r="K255" s="105">
        <f t="shared" si="9"/>
        <v>25</v>
      </c>
      <c r="L255" s="411">
        <f t="shared" si="10"/>
        <v>489357.75</v>
      </c>
      <c r="M255" s="407">
        <f t="shared" si="2"/>
        <v>374381.5913</v>
      </c>
      <c r="N255" s="407">
        <f t="shared" si="3"/>
        <v>114976.1586</v>
      </c>
      <c r="O255" s="407">
        <f t="shared" si="4"/>
        <v>49797033.07</v>
      </c>
      <c r="P255" s="1"/>
    </row>
    <row r="256" ht="12.75" customHeight="1">
      <c r="A256" s="1">
        <v>245.0</v>
      </c>
      <c r="B256" s="408">
        <f t="shared" si="5"/>
        <v>489357.75</v>
      </c>
      <c r="C256" s="408">
        <f t="shared" si="6"/>
        <v>114118.2008</v>
      </c>
      <c r="D256" s="408">
        <f t="shared" si="7"/>
        <v>375239.5492</v>
      </c>
      <c r="E256" s="176">
        <f t="shared" si="8"/>
        <v>49421793.53</v>
      </c>
      <c r="F256" s="408">
        <f t="shared" si="11"/>
        <v>49444675.88</v>
      </c>
      <c r="G256" s="408">
        <f t="shared" si="12"/>
        <v>119892648.7</v>
      </c>
      <c r="H256" s="410">
        <f>IF(K256&gt;='Pro Forma Detail'!D$66,'Pro Forma Detail'!D$67,'Debt ReFi'!$B$5)</f>
        <v>0.0275</v>
      </c>
      <c r="I256" s="1">
        <f t="shared" si="1"/>
        <v>245</v>
      </c>
      <c r="J256" s="406">
        <f t="shared" si="13"/>
        <v>53083</v>
      </c>
      <c r="K256" s="105">
        <f t="shared" si="9"/>
        <v>25</v>
      </c>
      <c r="L256" s="411">
        <f t="shared" si="10"/>
        <v>489357.75</v>
      </c>
      <c r="M256" s="407">
        <f t="shared" si="2"/>
        <v>375239.5492</v>
      </c>
      <c r="N256" s="407">
        <f t="shared" si="3"/>
        <v>114118.2008</v>
      </c>
      <c r="O256" s="407">
        <f t="shared" si="4"/>
        <v>49421793.53</v>
      </c>
      <c r="P256" s="1"/>
    </row>
    <row r="257" ht="12.75" customHeight="1">
      <c r="A257" s="1">
        <v>246.0</v>
      </c>
      <c r="B257" s="408">
        <f t="shared" si="5"/>
        <v>489357.75</v>
      </c>
      <c r="C257" s="408">
        <f t="shared" si="6"/>
        <v>113258.2768</v>
      </c>
      <c r="D257" s="408">
        <f t="shared" si="7"/>
        <v>376099.4731</v>
      </c>
      <c r="E257" s="176">
        <f t="shared" si="8"/>
        <v>49045694.05</v>
      </c>
      <c r="F257" s="408">
        <f t="shared" si="11"/>
        <v>49557934.15</v>
      </c>
      <c r="G257" s="408">
        <f t="shared" si="12"/>
        <v>120382006.5</v>
      </c>
      <c r="H257" s="410">
        <f>IF(K257&gt;='Pro Forma Detail'!D$66,'Pro Forma Detail'!D$67,'Debt ReFi'!$B$5)</f>
        <v>0.0275</v>
      </c>
      <c r="I257" s="1">
        <f t="shared" si="1"/>
        <v>246</v>
      </c>
      <c r="J257" s="406">
        <f t="shared" si="13"/>
        <v>53114</v>
      </c>
      <c r="K257" s="105">
        <f t="shared" si="9"/>
        <v>25</v>
      </c>
      <c r="L257" s="411">
        <f t="shared" si="10"/>
        <v>489357.75</v>
      </c>
      <c r="M257" s="407">
        <f t="shared" si="2"/>
        <v>376099.4731</v>
      </c>
      <c r="N257" s="407">
        <f t="shared" si="3"/>
        <v>113258.2768</v>
      </c>
      <c r="O257" s="407">
        <f t="shared" si="4"/>
        <v>49045694.05</v>
      </c>
      <c r="P257" s="1"/>
    </row>
    <row r="258" ht="12.75" customHeight="1">
      <c r="A258" s="1">
        <v>247.0</v>
      </c>
      <c r="B258" s="408">
        <f t="shared" si="5"/>
        <v>489357.75</v>
      </c>
      <c r="C258" s="408">
        <f t="shared" si="6"/>
        <v>112396.3822</v>
      </c>
      <c r="D258" s="408">
        <f t="shared" si="7"/>
        <v>376961.3678</v>
      </c>
      <c r="E258" s="176">
        <f t="shared" si="8"/>
        <v>48668732.68</v>
      </c>
      <c r="F258" s="408">
        <f t="shared" si="11"/>
        <v>49670330.54</v>
      </c>
      <c r="G258" s="408">
        <f t="shared" si="12"/>
        <v>120871364.2</v>
      </c>
      <c r="H258" s="410">
        <f>IF(K258&gt;='Pro Forma Detail'!D$66,'Pro Forma Detail'!D$67,'Debt ReFi'!$B$5)</f>
        <v>0.0275</v>
      </c>
      <c r="I258" s="1">
        <f t="shared" si="1"/>
        <v>247</v>
      </c>
      <c r="J258" s="406">
        <f t="shared" si="13"/>
        <v>53144</v>
      </c>
      <c r="K258" s="105">
        <f t="shared" si="9"/>
        <v>25</v>
      </c>
      <c r="L258" s="411">
        <f t="shared" si="10"/>
        <v>489357.75</v>
      </c>
      <c r="M258" s="407">
        <f t="shared" si="2"/>
        <v>376961.3678</v>
      </c>
      <c r="N258" s="407">
        <f t="shared" si="3"/>
        <v>112396.3822</v>
      </c>
      <c r="O258" s="407">
        <f t="shared" si="4"/>
        <v>48668732.68</v>
      </c>
      <c r="P258" s="1"/>
    </row>
    <row r="259" ht="12.75" customHeight="1">
      <c r="A259" s="1">
        <v>248.0</v>
      </c>
      <c r="B259" s="408">
        <f t="shared" si="5"/>
        <v>489357.75</v>
      </c>
      <c r="C259" s="408">
        <f t="shared" si="6"/>
        <v>111532.5124</v>
      </c>
      <c r="D259" s="408">
        <f t="shared" si="7"/>
        <v>377825.2376</v>
      </c>
      <c r="E259" s="176">
        <f t="shared" si="8"/>
        <v>48290907.45</v>
      </c>
      <c r="F259" s="408">
        <f t="shared" si="11"/>
        <v>49781863.05</v>
      </c>
      <c r="G259" s="408">
        <f t="shared" si="12"/>
        <v>121360722</v>
      </c>
      <c r="H259" s="410">
        <f>IF(K259&gt;='Pro Forma Detail'!D$66,'Pro Forma Detail'!D$67,'Debt ReFi'!$B$5)</f>
        <v>0.0275</v>
      </c>
      <c r="I259" s="1">
        <f t="shared" si="1"/>
        <v>248</v>
      </c>
      <c r="J259" s="406">
        <f t="shared" si="13"/>
        <v>53175</v>
      </c>
      <c r="K259" s="105">
        <f t="shared" si="9"/>
        <v>25</v>
      </c>
      <c r="L259" s="411">
        <f t="shared" si="10"/>
        <v>489357.75</v>
      </c>
      <c r="M259" s="407">
        <f t="shared" si="2"/>
        <v>377825.2376</v>
      </c>
      <c r="N259" s="407">
        <f t="shared" si="3"/>
        <v>111532.5124</v>
      </c>
      <c r="O259" s="407">
        <f t="shared" si="4"/>
        <v>48290907.45</v>
      </c>
      <c r="P259" s="1"/>
    </row>
    <row r="260" ht="12.75" customHeight="1">
      <c r="A260" s="1">
        <v>249.0</v>
      </c>
      <c r="B260" s="408">
        <f t="shared" si="5"/>
        <v>489357.75</v>
      </c>
      <c r="C260" s="408">
        <f t="shared" si="6"/>
        <v>110666.6629</v>
      </c>
      <c r="D260" s="408">
        <f t="shared" si="7"/>
        <v>378691.0871</v>
      </c>
      <c r="E260" s="176">
        <f t="shared" si="8"/>
        <v>47912216.36</v>
      </c>
      <c r="F260" s="408">
        <f t="shared" si="11"/>
        <v>49892529.71</v>
      </c>
      <c r="G260" s="408">
        <f t="shared" si="12"/>
        <v>121850079.7</v>
      </c>
      <c r="H260" s="410">
        <f>IF(K260&gt;='Pro Forma Detail'!D$66,'Pro Forma Detail'!D$67,'Debt ReFi'!$B$5)</f>
        <v>0.0275</v>
      </c>
      <c r="I260" s="1">
        <f t="shared" si="1"/>
        <v>249</v>
      </c>
      <c r="J260" s="406">
        <f t="shared" si="13"/>
        <v>53206</v>
      </c>
      <c r="K260" s="105">
        <f t="shared" si="9"/>
        <v>25</v>
      </c>
      <c r="L260" s="411">
        <f t="shared" si="10"/>
        <v>489357.75</v>
      </c>
      <c r="M260" s="407">
        <f t="shared" si="2"/>
        <v>378691.0871</v>
      </c>
      <c r="N260" s="407">
        <f t="shared" si="3"/>
        <v>110666.6629</v>
      </c>
      <c r="O260" s="407">
        <f t="shared" si="4"/>
        <v>47912216.36</v>
      </c>
      <c r="P260" s="1"/>
    </row>
    <row r="261" ht="12.75" customHeight="1">
      <c r="A261" s="1">
        <v>250.0</v>
      </c>
      <c r="B261" s="408">
        <f t="shared" si="5"/>
        <v>489357.75</v>
      </c>
      <c r="C261" s="408">
        <f t="shared" si="6"/>
        <v>109798.8292</v>
      </c>
      <c r="D261" s="408">
        <f t="shared" si="7"/>
        <v>379558.9208</v>
      </c>
      <c r="E261" s="176">
        <f t="shared" si="8"/>
        <v>47532657.44</v>
      </c>
      <c r="F261" s="408">
        <f t="shared" si="11"/>
        <v>50002328.54</v>
      </c>
      <c r="G261" s="408">
        <f t="shared" si="12"/>
        <v>122339437.5</v>
      </c>
      <c r="H261" s="410">
        <f>IF(K261&gt;='Pro Forma Detail'!D$66,'Pro Forma Detail'!D$67,'Debt ReFi'!$B$5)</f>
        <v>0.0275</v>
      </c>
      <c r="I261" s="1">
        <f t="shared" si="1"/>
        <v>250</v>
      </c>
      <c r="J261" s="406">
        <f t="shared" si="13"/>
        <v>53236</v>
      </c>
      <c r="K261" s="105">
        <f t="shared" si="9"/>
        <v>25</v>
      </c>
      <c r="L261" s="411">
        <f t="shared" si="10"/>
        <v>489357.75</v>
      </c>
      <c r="M261" s="407">
        <f t="shared" si="2"/>
        <v>379558.9208</v>
      </c>
      <c r="N261" s="407">
        <f t="shared" si="3"/>
        <v>109798.8292</v>
      </c>
      <c r="O261" s="407">
        <f t="shared" si="4"/>
        <v>47532657.44</v>
      </c>
      <c r="P261" s="1"/>
    </row>
    <row r="262" ht="12.75" customHeight="1">
      <c r="A262" s="1">
        <v>251.0</v>
      </c>
      <c r="B262" s="408">
        <f t="shared" si="5"/>
        <v>489357.75</v>
      </c>
      <c r="C262" s="408">
        <f t="shared" si="6"/>
        <v>108929.0066</v>
      </c>
      <c r="D262" s="408">
        <f t="shared" si="7"/>
        <v>380428.7433</v>
      </c>
      <c r="E262" s="176">
        <f t="shared" si="8"/>
        <v>47152228.7</v>
      </c>
      <c r="F262" s="408">
        <f t="shared" si="11"/>
        <v>50111257.55</v>
      </c>
      <c r="G262" s="408">
        <f t="shared" si="12"/>
        <v>122828795.2</v>
      </c>
      <c r="H262" s="410">
        <f>IF(K262&gt;='Pro Forma Detail'!D$66,'Pro Forma Detail'!D$67,'Debt ReFi'!$B$5)</f>
        <v>0.0275</v>
      </c>
      <c r="I262" s="1">
        <f t="shared" si="1"/>
        <v>251</v>
      </c>
      <c r="J262" s="406">
        <f t="shared" si="13"/>
        <v>53267</v>
      </c>
      <c r="K262" s="105">
        <f t="shared" si="9"/>
        <v>25</v>
      </c>
      <c r="L262" s="411">
        <f t="shared" si="10"/>
        <v>489357.75</v>
      </c>
      <c r="M262" s="407">
        <f t="shared" si="2"/>
        <v>380428.7433</v>
      </c>
      <c r="N262" s="407">
        <f t="shared" si="3"/>
        <v>108929.0066</v>
      </c>
      <c r="O262" s="407">
        <f t="shared" si="4"/>
        <v>47152228.7</v>
      </c>
      <c r="P262" s="1"/>
    </row>
    <row r="263" ht="12.75" customHeight="1">
      <c r="A263" s="1">
        <v>252.0</v>
      </c>
      <c r="B263" s="408">
        <f t="shared" si="5"/>
        <v>489357.75</v>
      </c>
      <c r="C263" s="408">
        <f t="shared" si="6"/>
        <v>108057.1908</v>
      </c>
      <c r="D263" s="408">
        <f t="shared" si="7"/>
        <v>381300.5592</v>
      </c>
      <c r="E263" s="176">
        <f t="shared" si="8"/>
        <v>46770928.14</v>
      </c>
      <c r="F263" s="408">
        <f t="shared" si="11"/>
        <v>50219314.74</v>
      </c>
      <c r="G263" s="408">
        <f t="shared" si="12"/>
        <v>123318153</v>
      </c>
      <c r="H263" s="410">
        <f>IF(K263&gt;='Pro Forma Detail'!D$66,'Pro Forma Detail'!D$67,'Debt ReFi'!$B$5)</f>
        <v>0.0275</v>
      </c>
      <c r="I263" s="1">
        <f t="shared" si="1"/>
        <v>252</v>
      </c>
      <c r="J263" s="406">
        <f t="shared" si="13"/>
        <v>53297</v>
      </c>
      <c r="K263" s="105">
        <f t="shared" si="9"/>
        <v>25</v>
      </c>
      <c r="L263" s="411">
        <f t="shared" si="10"/>
        <v>489357.75</v>
      </c>
      <c r="M263" s="407">
        <f t="shared" si="2"/>
        <v>381300.5592</v>
      </c>
      <c r="N263" s="407">
        <f t="shared" si="3"/>
        <v>108057.1908</v>
      </c>
      <c r="O263" s="407">
        <f t="shared" si="4"/>
        <v>46770928.14</v>
      </c>
      <c r="P263" s="1"/>
    </row>
    <row r="264" ht="12.75" customHeight="1">
      <c r="A264" s="1">
        <v>253.0</v>
      </c>
      <c r="B264" s="408">
        <f t="shared" si="5"/>
        <v>489357.75</v>
      </c>
      <c r="C264" s="408">
        <f t="shared" si="6"/>
        <v>107183.377</v>
      </c>
      <c r="D264" s="408">
        <f t="shared" si="7"/>
        <v>382174.373</v>
      </c>
      <c r="E264" s="176">
        <f t="shared" si="8"/>
        <v>46388753.76</v>
      </c>
      <c r="F264" s="408">
        <f t="shared" si="11"/>
        <v>50326498.12</v>
      </c>
      <c r="G264" s="408">
        <f t="shared" si="12"/>
        <v>123807510.7</v>
      </c>
      <c r="H264" s="410">
        <f>IF(K264&gt;='Pro Forma Detail'!D$66,'Pro Forma Detail'!D$67,'Debt ReFi'!$B$5)</f>
        <v>0.0275</v>
      </c>
      <c r="I264" s="1">
        <f t="shared" si="1"/>
        <v>253</v>
      </c>
      <c r="J264" s="406">
        <f t="shared" si="13"/>
        <v>53328</v>
      </c>
      <c r="K264" s="105">
        <f t="shared" si="9"/>
        <v>26</v>
      </c>
      <c r="L264" s="411">
        <f t="shared" si="10"/>
        <v>489357.75</v>
      </c>
      <c r="M264" s="407">
        <f t="shared" si="2"/>
        <v>382174.373</v>
      </c>
      <c r="N264" s="407">
        <f t="shared" si="3"/>
        <v>107183.377</v>
      </c>
      <c r="O264" s="407">
        <f t="shared" si="4"/>
        <v>46388753.76</v>
      </c>
      <c r="P264" s="1"/>
    </row>
    <row r="265" ht="12.75" customHeight="1">
      <c r="A265" s="1">
        <v>254.0</v>
      </c>
      <c r="B265" s="408">
        <f t="shared" si="5"/>
        <v>489357.75</v>
      </c>
      <c r="C265" s="408">
        <f t="shared" si="6"/>
        <v>106307.5607</v>
      </c>
      <c r="D265" s="408">
        <f t="shared" si="7"/>
        <v>383050.1892</v>
      </c>
      <c r="E265" s="176">
        <f t="shared" si="8"/>
        <v>46005703.57</v>
      </c>
      <c r="F265" s="408">
        <f t="shared" si="11"/>
        <v>50432805.68</v>
      </c>
      <c r="G265" s="408">
        <f t="shared" si="12"/>
        <v>124296868.5</v>
      </c>
      <c r="H265" s="410">
        <f>IF(K265&gt;='Pro Forma Detail'!D$66,'Pro Forma Detail'!D$67,'Debt ReFi'!$B$5)</f>
        <v>0.0275</v>
      </c>
      <c r="I265" s="1">
        <f t="shared" si="1"/>
        <v>254</v>
      </c>
      <c r="J265" s="406">
        <f t="shared" si="13"/>
        <v>53359</v>
      </c>
      <c r="K265" s="105">
        <f t="shared" si="9"/>
        <v>26</v>
      </c>
      <c r="L265" s="411">
        <f t="shared" si="10"/>
        <v>489357.75</v>
      </c>
      <c r="M265" s="407">
        <f t="shared" si="2"/>
        <v>383050.1892</v>
      </c>
      <c r="N265" s="407">
        <f t="shared" si="3"/>
        <v>106307.5607</v>
      </c>
      <c r="O265" s="407">
        <f t="shared" si="4"/>
        <v>46005703.57</v>
      </c>
      <c r="P265" s="1"/>
    </row>
    <row r="266" ht="12.75" customHeight="1">
      <c r="A266" s="1">
        <v>255.0</v>
      </c>
      <c r="B266" s="408">
        <f t="shared" si="5"/>
        <v>489357.75</v>
      </c>
      <c r="C266" s="408">
        <f t="shared" si="6"/>
        <v>105429.7374</v>
      </c>
      <c r="D266" s="408">
        <f t="shared" si="7"/>
        <v>383928.0126</v>
      </c>
      <c r="E266" s="176">
        <f t="shared" si="8"/>
        <v>45621775.56</v>
      </c>
      <c r="F266" s="408">
        <f t="shared" si="11"/>
        <v>50538235.41</v>
      </c>
      <c r="G266" s="408">
        <f t="shared" si="12"/>
        <v>124786226.2</v>
      </c>
      <c r="H266" s="410">
        <f>IF(K266&gt;='Pro Forma Detail'!D$66,'Pro Forma Detail'!D$67,'Debt ReFi'!$B$5)</f>
        <v>0.0275</v>
      </c>
      <c r="I266" s="1">
        <f t="shared" si="1"/>
        <v>255</v>
      </c>
      <c r="J266" s="406">
        <f t="shared" si="13"/>
        <v>53387</v>
      </c>
      <c r="K266" s="105">
        <f t="shared" si="9"/>
        <v>26</v>
      </c>
      <c r="L266" s="411">
        <f t="shared" si="10"/>
        <v>489357.75</v>
      </c>
      <c r="M266" s="407">
        <f t="shared" si="2"/>
        <v>383928.0126</v>
      </c>
      <c r="N266" s="407">
        <f t="shared" si="3"/>
        <v>105429.7374</v>
      </c>
      <c r="O266" s="407">
        <f t="shared" si="4"/>
        <v>45621775.56</v>
      </c>
      <c r="P266" s="1"/>
    </row>
    <row r="267" ht="12.75" customHeight="1">
      <c r="A267" s="1">
        <v>256.0</v>
      </c>
      <c r="B267" s="408">
        <f t="shared" si="5"/>
        <v>489357.75</v>
      </c>
      <c r="C267" s="408">
        <f t="shared" si="6"/>
        <v>104549.9023</v>
      </c>
      <c r="D267" s="408">
        <f t="shared" si="7"/>
        <v>384807.8476</v>
      </c>
      <c r="E267" s="176">
        <f t="shared" si="8"/>
        <v>45236967.71</v>
      </c>
      <c r="F267" s="408">
        <f t="shared" si="11"/>
        <v>50642785.32</v>
      </c>
      <c r="G267" s="408">
        <f t="shared" si="12"/>
        <v>125275584</v>
      </c>
      <c r="H267" s="410">
        <f>IF(K267&gt;='Pro Forma Detail'!D$66,'Pro Forma Detail'!D$67,'Debt ReFi'!$B$5)</f>
        <v>0.0275</v>
      </c>
      <c r="I267" s="1">
        <f t="shared" si="1"/>
        <v>256</v>
      </c>
      <c r="J267" s="406">
        <f t="shared" si="13"/>
        <v>53418</v>
      </c>
      <c r="K267" s="105">
        <f t="shared" si="9"/>
        <v>26</v>
      </c>
      <c r="L267" s="411">
        <f t="shared" si="10"/>
        <v>489357.75</v>
      </c>
      <c r="M267" s="407">
        <f t="shared" si="2"/>
        <v>384807.8476</v>
      </c>
      <c r="N267" s="407">
        <f t="shared" si="3"/>
        <v>104549.9023</v>
      </c>
      <c r="O267" s="407">
        <f t="shared" si="4"/>
        <v>45236967.71</v>
      </c>
      <c r="P267" s="1"/>
    </row>
    <row r="268" ht="12.75" customHeight="1">
      <c r="A268" s="1">
        <v>257.0</v>
      </c>
      <c r="B268" s="408">
        <f t="shared" si="5"/>
        <v>489357.75</v>
      </c>
      <c r="C268" s="408">
        <f t="shared" si="6"/>
        <v>103668.051</v>
      </c>
      <c r="D268" s="408">
        <f t="shared" si="7"/>
        <v>385689.6989</v>
      </c>
      <c r="E268" s="176">
        <f t="shared" si="8"/>
        <v>44851278.01</v>
      </c>
      <c r="F268" s="408">
        <f t="shared" si="11"/>
        <v>50746453.37</v>
      </c>
      <c r="G268" s="408">
        <f t="shared" si="12"/>
        <v>125764941.7</v>
      </c>
      <c r="H268" s="410">
        <f>IF(K268&gt;='Pro Forma Detail'!D$66,'Pro Forma Detail'!D$67,'Debt ReFi'!$B$5)</f>
        <v>0.0275</v>
      </c>
      <c r="I268" s="1">
        <f t="shared" si="1"/>
        <v>257</v>
      </c>
      <c r="J268" s="406">
        <f t="shared" si="13"/>
        <v>53448</v>
      </c>
      <c r="K268" s="105">
        <f t="shared" si="9"/>
        <v>26</v>
      </c>
      <c r="L268" s="411">
        <f t="shared" si="10"/>
        <v>489357.75</v>
      </c>
      <c r="M268" s="407">
        <f t="shared" si="2"/>
        <v>385689.6989</v>
      </c>
      <c r="N268" s="407">
        <f t="shared" si="3"/>
        <v>103668.051</v>
      </c>
      <c r="O268" s="407">
        <f t="shared" si="4"/>
        <v>44851278.01</v>
      </c>
      <c r="P268" s="1"/>
    </row>
    <row r="269" ht="12.75" customHeight="1">
      <c r="A269" s="1">
        <v>258.0</v>
      </c>
      <c r="B269" s="408">
        <f t="shared" si="5"/>
        <v>489357.75</v>
      </c>
      <c r="C269" s="408">
        <f t="shared" si="6"/>
        <v>102784.1788</v>
      </c>
      <c r="D269" s="408">
        <f t="shared" si="7"/>
        <v>386573.5712</v>
      </c>
      <c r="E269" s="176">
        <f t="shared" si="8"/>
        <v>44464704.44</v>
      </c>
      <c r="F269" s="408">
        <f t="shared" si="11"/>
        <v>50849237.55</v>
      </c>
      <c r="G269" s="408">
        <f t="shared" si="12"/>
        <v>126254299.5</v>
      </c>
      <c r="H269" s="410">
        <f>IF(K269&gt;='Pro Forma Detail'!D$66,'Pro Forma Detail'!D$67,'Debt ReFi'!$B$5)</f>
        <v>0.0275</v>
      </c>
      <c r="I269" s="1">
        <f t="shared" si="1"/>
        <v>258</v>
      </c>
      <c r="J269" s="406">
        <f t="shared" si="13"/>
        <v>53479</v>
      </c>
      <c r="K269" s="105">
        <f t="shared" si="9"/>
        <v>26</v>
      </c>
      <c r="L269" s="411">
        <f t="shared" si="10"/>
        <v>489357.75</v>
      </c>
      <c r="M269" s="407">
        <f t="shared" si="2"/>
        <v>386573.5712</v>
      </c>
      <c r="N269" s="407">
        <f t="shared" si="3"/>
        <v>102784.1788</v>
      </c>
      <c r="O269" s="407">
        <f t="shared" si="4"/>
        <v>44464704.44</v>
      </c>
      <c r="P269" s="1"/>
    </row>
    <row r="270" ht="12.75" customHeight="1">
      <c r="A270" s="1">
        <v>259.0</v>
      </c>
      <c r="B270" s="408">
        <f t="shared" si="5"/>
        <v>489357.75</v>
      </c>
      <c r="C270" s="408">
        <f t="shared" si="6"/>
        <v>101898.281</v>
      </c>
      <c r="D270" s="408">
        <f t="shared" si="7"/>
        <v>387459.4689</v>
      </c>
      <c r="E270" s="176">
        <f t="shared" si="8"/>
        <v>44077244.97</v>
      </c>
      <c r="F270" s="408">
        <f t="shared" si="11"/>
        <v>50951135.83</v>
      </c>
      <c r="G270" s="408">
        <f t="shared" si="12"/>
        <v>126743657.2</v>
      </c>
      <c r="H270" s="410">
        <f>IF(K270&gt;='Pro Forma Detail'!D$66,'Pro Forma Detail'!D$67,'Debt ReFi'!$B$5)</f>
        <v>0.0275</v>
      </c>
      <c r="I270" s="1">
        <f t="shared" si="1"/>
        <v>259</v>
      </c>
      <c r="J270" s="406">
        <f t="shared" si="13"/>
        <v>53509</v>
      </c>
      <c r="K270" s="105">
        <f t="shared" si="9"/>
        <v>26</v>
      </c>
      <c r="L270" s="411">
        <f t="shared" si="10"/>
        <v>489357.75</v>
      </c>
      <c r="M270" s="407">
        <f t="shared" si="2"/>
        <v>387459.4689</v>
      </c>
      <c r="N270" s="407">
        <f t="shared" si="3"/>
        <v>101898.281</v>
      </c>
      <c r="O270" s="407">
        <f t="shared" si="4"/>
        <v>44077244.97</v>
      </c>
      <c r="P270" s="1"/>
    </row>
    <row r="271" ht="12.75" customHeight="1">
      <c r="A271" s="1">
        <v>260.0</v>
      </c>
      <c r="B271" s="408">
        <f t="shared" si="5"/>
        <v>489357.75</v>
      </c>
      <c r="C271" s="408">
        <f t="shared" si="6"/>
        <v>101010.3531</v>
      </c>
      <c r="D271" s="408">
        <f t="shared" si="7"/>
        <v>388347.3969</v>
      </c>
      <c r="E271" s="176">
        <f t="shared" si="8"/>
        <v>43688897.58</v>
      </c>
      <c r="F271" s="408">
        <f t="shared" si="11"/>
        <v>51052146.18</v>
      </c>
      <c r="G271" s="408">
        <f t="shared" si="12"/>
        <v>127233015</v>
      </c>
      <c r="H271" s="410">
        <f>IF(K271&gt;='Pro Forma Detail'!D$66,'Pro Forma Detail'!D$67,'Debt ReFi'!$B$5)</f>
        <v>0.0275</v>
      </c>
      <c r="I271" s="1">
        <f t="shared" si="1"/>
        <v>260</v>
      </c>
      <c r="J271" s="406">
        <f t="shared" si="13"/>
        <v>53540</v>
      </c>
      <c r="K271" s="105">
        <f t="shared" si="9"/>
        <v>26</v>
      </c>
      <c r="L271" s="411">
        <f t="shared" si="10"/>
        <v>489357.75</v>
      </c>
      <c r="M271" s="407">
        <f t="shared" si="2"/>
        <v>388347.3969</v>
      </c>
      <c r="N271" s="407">
        <f t="shared" si="3"/>
        <v>101010.3531</v>
      </c>
      <c r="O271" s="407">
        <f t="shared" si="4"/>
        <v>43688897.58</v>
      </c>
      <c r="P271" s="1"/>
    </row>
    <row r="272" ht="12.75" customHeight="1">
      <c r="A272" s="1">
        <v>261.0</v>
      </c>
      <c r="B272" s="408">
        <f t="shared" si="5"/>
        <v>489357.75</v>
      </c>
      <c r="C272" s="408">
        <f t="shared" si="6"/>
        <v>100120.3903</v>
      </c>
      <c r="D272" s="408">
        <f t="shared" si="7"/>
        <v>389237.3597</v>
      </c>
      <c r="E272" s="176">
        <f t="shared" si="8"/>
        <v>43299660.22</v>
      </c>
      <c r="F272" s="408">
        <f t="shared" si="11"/>
        <v>51152266.57</v>
      </c>
      <c r="G272" s="408">
        <f t="shared" si="12"/>
        <v>127722372.7</v>
      </c>
      <c r="H272" s="410">
        <f>IF(K272&gt;='Pro Forma Detail'!D$66,'Pro Forma Detail'!D$67,'Debt ReFi'!$B$5)</f>
        <v>0.0275</v>
      </c>
      <c r="I272" s="1">
        <f t="shared" si="1"/>
        <v>261</v>
      </c>
      <c r="J272" s="406">
        <f t="shared" si="13"/>
        <v>53571</v>
      </c>
      <c r="K272" s="105">
        <f t="shared" si="9"/>
        <v>26</v>
      </c>
      <c r="L272" s="411">
        <f t="shared" si="10"/>
        <v>489357.75</v>
      </c>
      <c r="M272" s="407">
        <f t="shared" si="2"/>
        <v>389237.3597</v>
      </c>
      <c r="N272" s="407">
        <f t="shared" si="3"/>
        <v>100120.3903</v>
      </c>
      <c r="O272" s="407">
        <f t="shared" si="4"/>
        <v>43299660.22</v>
      </c>
      <c r="P272" s="1"/>
    </row>
    <row r="273" ht="12.75" customHeight="1">
      <c r="A273" s="1">
        <v>262.0</v>
      </c>
      <c r="B273" s="408">
        <f t="shared" si="5"/>
        <v>489357.75</v>
      </c>
      <c r="C273" s="408">
        <f t="shared" si="6"/>
        <v>99228.388</v>
      </c>
      <c r="D273" s="408">
        <f t="shared" si="7"/>
        <v>390129.362</v>
      </c>
      <c r="E273" s="176">
        <f t="shared" si="8"/>
        <v>42909530.86</v>
      </c>
      <c r="F273" s="408">
        <f t="shared" si="11"/>
        <v>51251494.96</v>
      </c>
      <c r="G273" s="408">
        <f t="shared" si="12"/>
        <v>128211730.5</v>
      </c>
      <c r="H273" s="410">
        <f>IF(K273&gt;='Pro Forma Detail'!D$66,'Pro Forma Detail'!D$67,'Debt ReFi'!$B$5)</f>
        <v>0.0275</v>
      </c>
      <c r="I273" s="1">
        <f t="shared" si="1"/>
        <v>262</v>
      </c>
      <c r="J273" s="406">
        <f t="shared" si="13"/>
        <v>53601</v>
      </c>
      <c r="K273" s="105">
        <f t="shared" si="9"/>
        <v>26</v>
      </c>
      <c r="L273" s="411">
        <f t="shared" si="10"/>
        <v>489357.75</v>
      </c>
      <c r="M273" s="407">
        <f t="shared" si="2"/>
        <v>390129.362</v>
      </c>
      <c r="N273" s="407">
        <f t="shared" si="3"/>
        <v>99228.388</v>
      </c>
      <c r="O273" s="407">
        <f t="shared" si="4"/>
        <v>42909530.86</v>
      </c>
      <c r="P273" s="1"/>
    </row>
    <row r="274" ht="12.75" customHeight="1">
      <c r="A274" s="1">
        <v>263.0</v>
      </c>
      <c r="B274" s="408">
        <f t="shared" si="5"/>
        <v>489357.75</v>
      </c>
      <c r="C274" s="408">
        <f t="shared" si="6"/>
        <v>98334.34155</v>
      </c>
      <c r="D274" s="408">
        <f t="shared" si="7"/>
        <v>391023.4084</v>
      </c>
      <c r="E274" s="176">
        <f t="shared" si="8"/>
        <v>42518507.45</v>
      </c>
      <c r="F274" s="408">
        <f t="shared" si="11"/>
        <v>51349829.3</v>
      </c>
      <c r="G274" s="408">
        <f t="shared" si="12"/>
        <v>128701088.2</v>
      </c>
      <c r="H274" s="410">
        <f>IF(K274&gt;='Pro Forma Detail'!D$66,'Pro Forma Detail'!D$67,'Debt ReFi'!$B$5)</f>
        <v>0.0275</v>
      </c>
      <c r="I274" s="1">
        <f t="shared" si="1"/>
        <v>263</v>
      </c>
      <c r="J274" s="406">
        <f t="shared" si="13"/>
        <v>53632</v>
      </c>
      <c r="K274" s="105">
        <f t="shared" si="9"/>
        <v>26</v>
      </c>
      <c r="L274" s="411">
        <f t="shared" si="10"/>
        <v>489357.75</v>
      </c>
      <c r="M274" s="407">
        <f t="shared" si="2"/>
        <v>391023.4084</v>
      </c>
      <c r="N274" s="407">
        <f t="shared" si="3"/>
        <v>98334.34155</v>
      </c>
      <c r="O274" s="407">
        <f t="shared" si="4"/>
        <v>42518507.45</v>
      </c>
      <c r="P274" s="1"/>
    </row>
    <row r="275" ht="12.75" customHeight="1">
      <c r="A275" s="1">
        <v>264.0</v>
      </c>
      <c r="B275" s="408">
        <f t="shared" si="5"/>
        <v>489357.75</v>
      </c>
      <c r="C275" s="408">
        <f t="shared" si="6"/>
        <v>97438.24623</v>
      </c>
      <c r="D275" s="408">
        <f t="shared" si="7"/>
        <v>391919.5037</v>
      </c>
      <c r="E275" s="176">
        <f t="shared" si="8"/>
        <v>42126587.94</v>
      </c>
      <c r="F275" s="408">
        <f t="shared" si="11"/>
        <v>51447267.55</v>
      </c>
      <c r="G275" s="408">
        <f t="shared" si="12"/>
        <v>129190446</v>
      </c>
      <c r="H275" s="410">
        <f>IF(K275&gt;='Pro Forma Detail'!D$66,'Pro Forma Detail'!D$67,'Debt ReFi'!$B$5)</f>
        <v>0.0275</v>
      </c>
      <c r="I275" s="1">
        <f t="shared" si="1"/>
        <v>264</v>
      </c>
      <c r="J275" s="406">
        <f t="shared" si="13"/>
        <v>53662</v>
      </c>
      <c r="K275" s="105">
        <f t="shared" si="9"/>
        <v>26</v>
      </c>
      <c r="L275" s="411">
        <f t="shared" si="10"/>
        <v>489357.75</v>
      </c>
      <c r="M275" s="407">
        <f t="shared" si="2"/>
        <v>391919.5037</v>
      </c>
      <c r="N275" s="407">
        <f t="shared" si="3"/>
        <v>97438.24623</v>
      </c>
      <c r="O275" s="407">
        <f t="shared" si="4"/>
        <v>42126587.94</v>
      </c>
      <c r="P275" s="1"/>
    </row>
    <row r="276" ht="12.75" customHeight="1">
      <c r="A276" s="1">
        <v>265.0</v>
      </c>
      <c r="B276" s="408">
        <f t="shared" si="5"/>
        <v>489357.75</v>
      </c>
      <c r="C276" s="408">
        <f t="shared" si="6"/>
        <v>96540.09737</v>
      </c>
      <c r="D276" s="408">
        <f t="shared" si="7"/>
        <v>392817.6526</v>
      </c>
      <c r="E276" s="176">
        <f t="shared" si="8"/>
        <v>41733770.29</v>
      </c>
      <c r="F276" s="408">
        <f t="shared" si="11"/>
        <v>51543807.64</v>
      </c>
      <c r="G276" s="408">
        <f t="shared" si="12"/>
        <v>129679803.7</v>
      </c>
      <c r="H276" s="410">
        <f>IF(K276&gt;='Pro Forma Detail'!D$66,'Pro Forma Detail'!D$67,'Debt ReFi'!$B$5)</f>
        <v>0.0275</v>
      </c>
      <c r="I276" s="1">
        <f t="shared" si="1"/>
        <v>265</v>
      </c>
      <c r="J276" s="406">
        <f t="shared" si="13"/>
        <v>53693</v>
      </c>
      <c r="K276" s="105">
        <f t="shared" si="9"/>
        <v>27</v>
      </c>
      <c r="L276" s="411">
        <f t="shared" si="10"/>
        <v>489357.75</v>
      </c>
      <c r="M276" s="407">
        <f t="shared" si="2"/>
        <v>392817.6526</v>
      </c>
      <c r="N276" s="407">
        <f t="shared" si="3"/>
        <v>96540.09737</v>
      </c>
      <c r="O276" s="407">
        <f t="shared" si="4"/>
        <v>41733770.29</v>
      </c>
      <c r="P276" s="1"/>
    </row>
    <row r="277" ht="12.75" customHeight="1">
      <c r="A277" s="1">
        <v>266.0</v>
      </c>
      <c r="B277" s="408">
        <f t="shared" si="5"/>
        <v>489357.75</v>
      </c>
      <c r="C277" s="408">
        <f t="shared" si="6"/>
        <v>95639.89025</v>
      </c>
      <c r="D277" s="408">
        <f t="shared" si="7"/>
        <v>393717.8597</v>
      </c>
      <c r="E277" s="176">
        <f t="shared" si="8"/>
        <v>41340052.43</v>
      </c>
      <c r="F277" s="408">
        <f t="shared" si="11"/>
        <v>51639447.53</v>
      </c>
      <c r="G277" s="408">
        <f t="shared" si="12"/>
        <v>130169161.5</v>
      </c>
      <c r="H277" s="410">
        <f>IF(K277&gt;='Pro Forma Detail'!D$66,'Pro Forma Detail'!D$67,'Debt ReFi'!$B$5)</f>
        <v>0.0275</v>
      </c>
      <c r="I277" s="1">
        <f t="shared" si="1"/>
        <v>266</v>
      </c>
      <c r="J277" s="406">
        <f t="shared" si="13"/>
        <v>53724</v>
      </c>
      <c r="K277" s="105">
        <f t="shared" si="9"/>
        <v>27</v>
      </c>
      <c r="L277" s="411">
        <f t="shared" si="10"/>
        <v>489357.75</v>
      </c>
      <c r="M277" s="407">
        <f t="shared" si="2"/>
        <v>393717.8597</v>
      </c>
      <c r="N277" s="407">
        <f t="shared" si="3"/>
        <v>95639.89025</v>
      </c>
      <c r="O277" s="407">
        <f t="shared" si="4"/>
        <v>41340052.43</v>
      </c>
      <c r="P277" s="1"/>
    </row>
    <row r="278" ht="12.75" customHeight="1">
      <c r="A278" s="1">
        <v>267.0</v>
      </c>
      <c r="B278" s="408">
        <f t="shared" si="5"/>
        <v>489357.75</v>
      </c>
      <c r="C278" s="408">
        <f t="shared" si="6"/>
        <v>94737.62016</v>
      </c>
      <c r="D278" s="408">
        <f t="shared" si="7"/>
        <v>394620.1298</v>
      </c>
      <c r="E278" s="176">
        <f t="shared" si="8"/>
        <v>40945432.3</v>
      </c>
      <c r="F278" s="408">
        <f t="shared" si="11"/>
        <v>51734185.15</v>
      </c>
      <c r="G278" s="408">
        <f t="shared" si="12"/>
        <v>130658519.2</v>
      </c>
      <c r="H278" s="410">
        <f>IF(K278&gt;='Pro Forma Detail'!D$66,'Pro Forma Detail'!D$67,'Debt ReFi'!$B$5)</f>
        <v>0.0275</v>
      </c>
      <c r="I278" s="1">
        <f t="shared" si="1"/>
        <v>267</v>
      </c>
      <c r="J278" s="406">
        <f t="shared" si="13"/>
        <v>53752</v>
      </c>
      <c r="K278" s="105">
        <f t="shared" si="9"/>
        <v>27</v>
      </c>
      <c r="L278" s="411">
        <f t="shared" si="10"/>
        <v>489357.75</v>
      </c>
      <c r="M278" s="407">
        <f t="shared" si="2"/>
        <v>394620.1298</v>
      </c>
      <c r="N278" s="407">
        <f t="shared" si="3"/>
        <v>94737.62016</v>
      </c>
      <c r="O278" s="407">
        <f t="shared" si="4"/>
        <v>40945432.3</v>
      </c>
      <c r="P278" s="1"/>
    </row>
    <row r="279" ht="12.75" customHeight="1">
      <c r="A279" s="1">
        <v>268.0</v>
      </c>
      <c r="B279" s="408">
        <f t="shared" si="5"/>
        <v>489357.75</v>
      </c>
      <c r="C279" s="408">
        <f t="shared" si="6"/>
        <v>93833.28236</v>
      </c>
      <c r="D279" s="408">
        <f t="shared" si="7"/>
        <v>395524.4676</v>
      </c>
      <c r="E279" s="176">
        <f t="shared" si="8"/>
        <v>40549907.83</v>
      </c>
      <c r="F279" s="408">
        <f t="shared" si="11"/>
        <v>51828018.44</v>
      </c>
      <c r="G279" s="408">
        <f t="shared" si="12"/>
        <v>131147877</v>
      </c>
      <c r="H279" s="410">
        <f>IF(K279&gt;='Pro Forma Detail'!D$66,'Pro Forma Detail'!D$67,'Debt ReFi'!$B$5)</f>
        <v>0.0275</v>
      </c>
      <c r="I279" s="1">
        <f t="shared" si="1"/>
        <v>268</v>
      </c>
      <c r="J279" s="406">
        <f t="shared" si="13"/>
        <v>53783</v>
      </c>
      <c r="K279" s="105">
        <f t="shared" si="9"/>
        <v>27</v>
      </c>
      <c r="L279" s="411">
        <f t="shared" si="10"/>
        <v>489357.75</v>
      </c>
      <c r="M279" s="407">
        <f t="shared" si="2"/>
        <v>395524.4676</v>
      </c>
      <c r="N279" s="407">
        <f t="shared" si="3"/>
        <v>93833.28236</v>
      </c>
      <c r="O279" s="407">
        <f t="shared" si="4"/>
        <v>40549907.83</v>
      </c>
      <c r="P279" s="1"/>
    </row>
    <row r="280" ht="12.75" customHeight="1">
      <c r="A280" s="1">
        <v>269.0</v>
      </c>
      <c r="B280" s="408">
        <f t="shared" si="5"/>
        <v>489357.75</v>
      </c>
      <c r="C280" s="408">
        <f t="shared" si="6"/>
        <v>92926.87212</v>
      </c>
      <c r="D280" s="408">
        <f t="shared" si="7"/>
        <v>396430.8778</v>
      </c>
      <c r="E280" s="176">
        <f t="shared" si="8"/>
        <v>40153476.96</v>
      </c>
      <c r="F280" s="408">
        <f t="shared" si="11"/>
        <v>51920945.31</v>
      </c>
      <c r="G280" s="408">
        <f t="shared" si="12"/>
        <v>131637234.7</v>
      </c>
      <c r="H280" s="410">
        <f>IF(K280&gt;='Pro Forma Detail'!D$66,'Pro Forma Detail'!D$67,'Debt ReFi'!$B$5)</f>
        <v>0.0275</v>
      </c>
      <c r="I280" s="1">
        <f t="shared" si="1"/>
        <v>269</v>
      </c>
      <c r="J280" s="406">
        <f t="shared" si="13"/>
        <v>53813</v>
      </c>
      <c r="K280" s="105">
        <f t="shared" si="9"/>
        <v>27</v>
      </c>
      <c r="L280" s="411">
        <f t="shared" si="10"/>
        <v>489357.75</v>
      </c>
      <c r="M280" s="407">
        <f t="shared" si="2"/>
        <v>396430.8778</v>
      </c>
      <c r="N280" s="407">
        <f t="shared" si="3"/>
        <v>92926.87212</v>
      </c>
      <c r="O280" s="407">
        <f t="shared" si="4"/>
        <v>40153476.96</v>
      </c>
      <c r="P280" s="1"/>
    </row>
    <row r="281" ht="12.75" customHeight="1">
      <c r="A281" s="1">
        <v>270.0</v>
      </c>
      <c r="B281" s="408">
        <f t="shared" si="5"/>
        <v>489357.75</v>
      </c>
      <c r="C281" s="408">
        <f t="shared" si="6"/>
        <v>92018.38469</v>
      </c>
      <c r="D281" s="408">
        <f t="shared" si="7"/>
        <v>397339.3653</v>
      </c>
      <c r="E281" s="176">
        <f t="shared" si="8"/>
        <v>39756137.59</v>
      </c>
      <c r="F281" s="408">
        <f t="shared" si="11"/>
        <v>52012963.69</v>
      </c>
      <c r="G281" s="408">
        <f t="shared" si="12"/>
        <v>132126592.5</v>
      </c>
      <c r="H281" s="410">
        <f>IF(K281&gt;='Pro Forma Detail'!D$66,'Pro Forma Detail'!D$67,'Debt ReFi'!$B$5)</f>
        <v>0.0275</v>
      </c>
      <c r="I281" s="1">
        <f t="shared" si="1"/>
        <v>270</v>
      </c>
      <c r="J281" s="406">
        <f t="shared" si="13"/>
        <v>53844</v>
      </c>
      <c r="K281" s="105">
        <f t="shared" si="9"/>
        <v>27</v>
      </c>
      <c r="L281" s="411">
        <f t="shared" si="10"/>
        <v>489357.75</v>
      </c>
      <c r="M281" s="407">
        <f t="shared" si="2"/>
        <v>397339.3653</v>
      </c>
      <c r="N281" s="407">
        <f t="shared" si="3"/>
        <v>92018.38469</v>
      </c>
      <c r="O281" s="407">
        <f t="shared" si="4"/>
        <v>39756137.59</v>
      </c>
      <c r="P281" s="1"/>
    </row>
    <row r="282" ht="12.75" customHeight="1">
      <c r="A282" s="1">
        <v>271.0</v>
      </c>
      <c r="B282" s="408">
        <f t="shared" si="5"/>
        <v>489357.75</v>
      </c>
      <c r="C282" s="408">
        <f t="shared" si="6"/>
        <v>91107.81531</v>
      </c>
      <c r="D282" s="408">
        <f t="shared" si="7"/>
        <v>398249.9346</v>
      </c>
      <c r="E282" s="176">
        <f t="shared" si="8"/>
        <v>39357887.66</v>
      </c>
      <c r="F282" s="408">
        <f t="shared" si="11"/>
        <v>52104071.51</v>
      </c>
      <c r="G282" s="408">
        <f t="shared" si="12"/>
        <v>132615950.2</v>
      </c>
      <c r="H282" s="410">
        <f>IF(K282&gt;='Pro Forma Detail'!D$66,'Pro Forma Detail'!D$67,'Debt ReFi'!$B$5)</f>
        <v>0.0275</v>
      </c>
      <c r="I282" s="1">
        <f t="shared" si="1"/>
        <v>271</v>
      </c>
      <c r="J282" s="406">
        <f t="shared" si="13"/>
        <v>53874</v>
      </c>
      <c r="K282" s="105">
        <f t="shared" si="9"/>
        <v>27</v>
      </c>
      <c r="L282" s="411">
        <f t="shared" si="10"/>
        <v>489357.75</v>
      </c>
      <c r="M282" s="407">
        <f t="shared" si="2"/>
        <v>398249.9346</v>
      </c>
      <c r="N282" s="407">
        <f t="shared" si="3"/>
        <v>91107.81531</v>
      </c>
      <c r="O282" s="407">
        <f t="shared" si="4"/>
        <v>39357887.66</v>
      </c>
      <c r="P282" s="1"/>
    </row>
    <row r="283" ht="12.75" customHeight="1">
      <c r="A283" s="1">
        <v>272.0</v>
      </c>
      <c r="B283" s="408">
        <f t="shared" si="5"/>
        <v>489357.75</v>
      </c>
      <c r="C283" s="408">
        <f t="shared" si="6"/>
        <v>90195.15921</v>
      </c>
      <c r="D283" s="408">
        <f t="shared" si="7"/>
        <v>399162.5907</v>
      </c>
      <c r="E283" s="176">
        <f t="shared" si="8"/>
        <v>38958725.07</v>
      </c>
      <c r="F283" s="408">
        <f t="shared" si="11"/>
        <v>52194266.67</v>
      </c>
      <c r="G283" s="408">
        <f t="shared" si="12"/>
        <v>133105308</v>
      </c>
      <c r="H283" s="410">
        <f>IF(K283&gt;='Pro Forma Detail'!D$66,'Pro Forma Detail'!D$67,'Debt ReFi'!$B$5)</f>
        <v>0.0275</v>
      </c>
      <c r="I283" s="1">
        <f t="shared" si="1"/>
        <v>272</v>
      </c>
      <c r="J283" s="406">
        <f t="shared" si="13"/>
        <v>53905</v>
      </c>
      <c r="K283" s="105">
        <f t="shared" si="9"/>
        <v>27</v>
      </c>
      <c r="L283" s="411">
        <f t="shared" si="10"/>
        <v>489357.75</v>
      </c>
      <c r="M283" s="407">
        <f t="shared" si="2"/>
        <v>399162.5907</v>
      </c>
      <c r="N283" s="407">
        <f t="shared" si="3"/>
        <v>90195.15921</v>
      </c>
      <c r="O283" s="407">
        <f t="shared" si="4"/>
        <v>38958725.07</v>
      </c>
      <c r="P283" s="1"/>
    </row>
    <row r="284" ht="12.75" customHeight="1">
      <c r="A284" s="1">
        <v>273.0</v>
      </c>
      <c r="B284" s="408">
        <f t="shared" si="5"/>
        <v>489357.75</v>
      </c>
      <c r="C284" s="408">
        <f t="shared" si="6"/>
        <v>89280.41161</v>
      </c>
      <c r="D284" s="408">
        <f t="shared" si="7"/>
        <v>400077.3383</v>
      </c>
      <c r="E284" s="176">
        <f t="shared" si="8"/>
        <v>38558647.73</v>
      </c>
      <c r="F284" s="408">
        <f t="shared" si="11"/>
        <v>52283547.08</v>
      </c>
      <c r="G284" s="408">
        <f t="shared" si="12"/>
        <v>133594665.7</v>
      </c>
      <c r="H284" s="410">
        <f>IF(K284&gt;='Pro Forma Detail'!D$66,'Pro Forma Detail'!D$67,'Debt ReFi'!$B$5)</f>
        <v>0.0275</v>
      </c>
      <c r="I284" s="1">
        <f t="shared" si="1"/>
        <v>273</v>
      </c>
      <c r="J284" s="406">
        <f t="shared" si="13"/>
        <v>53936</v>
      </c>
      <c r="K284" s="105">
        <f t="shared" si="9"/>
        <v>27</v>
      </c>
      <c r="L284" s="411">
        <f t="shared" si="10"/>
        <v>489357.75</v>
      </c>
      <c r="M284" s="407">
        <f t="shared" si="2"/>
        <v>400077.3383</v>
      </c>
      <c r="N284" s="407">
        <f t="shared" si="3"/>
        <v>89280.41161</v>
      </c>
      <c r="O284" s="407">
        <f t="shared" si="4"/>
        <v>38558647.73</v>
      </c>
      <c r="P284" s="1"/>
    </row>
    <row r="285" ht="12.75" customHeight="1">
      <c r="A285" s="1">
        <v>274.0</v>
      </c>
      <c r="B285" s="408">
        <f t="shared" si="5"/>
        <v>489357.75</v>
      </c>
      <c r="C285" s="408">
        <f t="shared" si="6"/>
        <v>88363.56771</v>
      </c>
      <c r="D285" s="408">
        <f t="shared" si="7"/>
        <v>400994.1822</v>
      </c>
      <c r="E285" s="176">
        <f t="shared" si="8"/>
        <v>38157653.55</v>
      </c>
      <c r="F285" s="408">
        <f t="shared" si="11"/>
        <v>52371910.65</v>
      </c>
      <c r="G285" s="408">
        <f t="shared" si="12"/>
        <v>134084023.5</v>
      </c>
      <c r="H285" s="410">
        <f>IF(K285&gt;='Pro Forma Detail'!D$66,'Pro Forma Detail'!D$67,'Debt ReFi'!$B$5)</f>
        <v>0.0275</v>
      </c>
      <c r="I285" s="1">
        <f t="shared" si="1"/>
        <v>274</v>
      </c>
      <c r="J285" s="406">
        <f t="shared" si="13"/>
        <v>53966</v>
      </c>
      <c r="K285" s="105">
        <f t="shared" si="9"/>
        <v>27</v>
      </c>
      <c r="L285" s="411">
        <f t="shared" si="10"/>
        <v>489357.75</v>
      </c>
      <c r="M285" s="407">
        <f t="shared" si="2"/>
        <v>400994.1822</v>
      </c>
      <c r="N285" s="407">
        <f t="shared" si="3"/>
        <v>88363.56771</v>
      </c>
      <c r="O285" s="407">
        <f t="shared" si="4"/>
        <v>38157653.55</v>
      </c>
      <c r="P285" s="1"/>
    </row>
    <row r="286" ht="12.75" customHeight="1">
      <c r="A286" s="1">
        <v>275.0</v>
      </c>
      <c r="B286" s="408">
        <f t="shared" si="5"/>
        <v>489357.75</v>
      </c>
      <c r="C286" s="408">
        <f t="shared" si="6"/>
        <v>87444.62271</v>
      </c>
      <c r="D286" s="408">
        <f t="shared" si="7"/>
        <v>401913.1272</v>
      </c>
      <c r="E286" s="176">
        <f t="shared" si="8"/>
        <v>37755740.42</v>
      </c>
      <c r="F286" s="408">
        <f t="shared" si="11"/>
        <v>52459355.27</v>
      </c>
      <c r="G286" s="408">
        <f t="shared" si="12"/>
        <v>134573381.2</v>
      </c>
      <c r="H286" s="410">
        <f>IF(K286&gt;='Pro Forma Detail'!D$66,'Pro Forma Detail'!D$67,'Debt ReFi'!$B$5)</f>
        <v>0.0275</v>
      </c>
      <c r="I286" s="1">
        <f t="shared" si="1"/>
        <v>275</v>
      </c>
      <c r="J286" s="406">
        <f t="shared" si="13"/>
        <v>53997</v>
      </c>
      <c r="K286" s="105">
        <f t="shared" si="9"/>
        <v>27</v>
      </c>
      <c r="L286" s="411">
        <f t="shared" si="10"/>
        <v>489357.75</v>
      </c>
      <c r="M286" s="407">
        <f t="shared" si="2"/>
        <v>401913.1272</v>
      </c>
      <c r="N286" s="407">
        <f t="shared" si="3"/>
        <v>87444.62271</v>
      </c>
      <c r="O286" s="407">
        <f t="shared" si="4"/>
        <v>37755740.42</v>
      </c>
      <c r="P286" s="1"/>
    </row>
    <row r="287" ht="12.75" customHeight="1">
      <c r="A287" s="1">
        <v>276.0</v>
      </c>
      <c r="B287" s="408">
        <f t="shared" si="5"/>
        <v>489357.75</v>
      </c>
      <c r="C287" s="408">
        <f t="shared" si="6"/>
        <v>86523.57179</v>
      </c>
      <c r="D287" s="408">
        <f t="shared" si="7"/>
        <v>402834.1782</v>
      </c>
      <c r="E287" s="176">
        <f t="shared" si="8"/>
        <v>37352906.24</v>
      </c>
      <c r="F287" s="408">
        <f t="shared" si="11"/>
        <v>52545878.84</v>
      </c>
      <c r="G287" s="408">
        <f t="shared" si="12"/>
        <v>135062739</v>
      </c>
      <c r="H287" s="410">
        <f>IF(K287&gt;='Pro Forma Detail'!D$66,'Pro Forma Detail'!D$67,'Debt ReFi'!$B$5)</f>
        <v>0.0275</v>
      </c>
      <c r="I287" s="1">
        <f t="shared" si="1"/>
        <v>276</v>
      </c>
      <c r="J287" s="406">
        <f t="shared" si="13"/>
        <v>54027</v>
      </c>
      <c r="K287" s="105">
        <f t="shared" si="9"/>
        <v>27</v>
      </c>
      <c r="L287" s="411">
        <f t="shared" si="10"/>
        <v>489357.75</v>
      </c>
      <c r="M287" s="407">
        <f t="shared" si="2"/>
        <v>402834.1782</v>
      </c>
      <c r="N287" s="407">
        <f t="shared" si="3"/>
        <v>86523.57179</v>
      </c>
      <c r="O287" s="407">
        <f t="shared" si="4"/>
        <v>37352906.24</v>
      </c>
      <c r="P287" s="1"/>
    </row>
    <row r="288" ht="12.75" customHeight="1">
      <c r="A288" s="1">
        <v>277.0</v>
      </c>
      <c r="B288" s="408">
        <f t="shared" si="5"/>
        <v>489357.75</v>
      </c>
      <c r="C288" s="408">
        <f t="shared" si="6"/>
        <v>85600.41013</v>
      </c>
      <c r="D288" s="408">
        <f t="shared" si="7"/>
        <v>403757.3398</v>
      </c>
      <c r="E288" s="176">
        <f t="shared" si="8"/>
        <v>36949148.9</v>
      </c>
      <c r="F288" s="408">
        <f t="shared" si="11"/>
        <v>52631479.25</v>
      </c>
      <c r="G288" s="408">
        <f t="shared" si="12"/>
        <v>135552096.7</v>
      </c>
      <c r="H288" s="410">
        <f>IF(K288&gt;='Pro Forma Detail'!D$66,'Pro Forma Detail'!D$67,'Debt ReFi'!$B$5)</f>
        <v>0.0275</v>
      </c>
      <c r="I288" s="1">
        <f t="shared" si="1"/>
        <v>277</v>
      </c>
      <c r="J288" s="406">
        <f t="shared" si="13"/>
        <v>54058</v>
      </c>
      <c r="K288" s="105">
        <f t="shared" si="9"/>
        <v>28</v>
      </c>
      <c r="L288" s="411">
        <f t="shared" si="10"/>
        <v>489357.75</v>
      </c>
      <c r="M288" s="407">
        <f t="shared" si="2"/>
        <v>403757.3398</v>
      </c>
      <c r="N288" s="407">
        <f t="shared" si="3"/>
        <v>85600.41013</v>
      </c>
      <c r="O288" s="407">
        <f t="shared" si="4"/>
        <v>36949148.9</v>
      </c>
      <c r="P288" s="1"/>
    </row>
    <row r="289" ht="12.75" customHeight="1">
      <c r="A289" s="1">
        <v>278.0</v>
      </c>
      <c r="B289" s="408">
        <f t="shared" si="5"/>
        <v>489357.75</v>
      </c>
      <c r="C289" s="408">
        <f t="shared" si="6"/>
        <v>84675.1329</v>
      </c>
      <c r="D289" s="408">
        <f t="shared" si="7"/>
        <v>404682.6171</v>
      </c>
      <c r="E289" s="176">
        <f t="shared" si="8"/>
        <v>36544466.28</v>
      </c>
      <c r="F289" s="408">
        <f t="shared" si="11"/>
        <v>52716154.38</v>
      </c>
      <c r="G289" s="408">
        <f t="shared" si="12"/>
        <v>136041454.5</v>
      </c>
      <c r="H289" s="410">
        <f>IF(K289&gt;='Pro Forma Detail'!D$66,'Pro Forma Detail'!D$67,'Debt ReFi'!$B$5)</f>
        <v>0.0275</v>
      </c>
      <c r="I289" s="1">
        <f t="shared" si="1"/>
        <v>278</v>
      </c>
      <c r="J289" s="406">
        <f t="shared" si="13"/>
        <v>54089</v>
      </c>
      <c r="K289" s="105">
        <f t="shared" si="9"/>
        <v>28</v>
      </c>
      <c r="L289" s="411">
        <f t="shared" si="10"/>
        <v>489357.75</v>
      </c>
      <c r="M289" s="407">
        <f t="shared" si="2"/>
        <v>404682.6171</v>
      </c>
      <c r="N289" s="407">
        <f t="shared" si="3"/>
        <v>84675.1329</v>
      </c>
      <c r="O289" s="407">
        <f t="shared" si="4"/>
        <v>36544466.28</v>
      </c>
      <c r="P289" s="1"/>
    </row>
    <row r="290" ht="12.75" customHeight="1">
      <c r="A290" s="1">
        <v>279.0</v>
      </c>
      <c r="B290" s="408">
        <f t="shared" si="5"/>
        <v>489357.75</v>
      </c>
      <c r="C290" s="408">
        <f t="shared" si="6"/>
        <v>83747.73523</v>
      </c>
      <c r="D290" s="408">
        <f t="shared" si="7"/>
        <v>405610.0147</v>
      </c>
      <c r="E290" s="176">
        <f t="shared" si="8"/>
        <v>36138856.27</v>
      </c>
      <c r="F290" s="408">
        <f t="shared" si="11"/>
        <v>52799902.12</v>
      </c>
      <c r="G290" s="408">
        <f t="shared" si="12"/>
        <v>136530812.2</v>
      </c>
      <c r="H290" s="410">
        <f>IF(K290&gt;='Pro Forma Detail'!D$66,'Pro Forma Detail'!D$67,'Debt ReFi'!$B$5)</f>
        <v>0.0275</v>
      </c>
      <c r="I290" s="1">
        <f t="shared" si="1"/>
        <v>279</v>
      </c>
      <c r="J290" s="406">
        <f t="shared" si="13"/>
        <v>54118</v>
      </c>
      <c r="K290" s="105">
        <f t="shared" si="9"/>
        <v>28</v>
      </c>
      <c r="L290" s="411">
        <f t="shared" si="10"/>
        <v>489357.75</v>
      </c>
      <c r="M290" s="407">
        <f t="shared" si="2"/>
        <v>405610.0147</v>
      </c>
      <c r="N290" s="407">
        <f t="shared" si="3"/>
        <v>83747.73523</v>
      </c>
      <c r="O290" s="407">
        <f t="shared" si="4"/>
        <v>36138856.27</v>
      </c>
      <c r="P290" s="1"/>
    </row>
    <row r="291" ht="12.75" customHeight="1">
      <c r="A291" s="1">
        <v>280.0</v>
      </c>
      <c r="B291" s="408">
        <f t="shared" si="5"/>
        <v>489357.75</v>
      </c>
      <c r="C291" s="408">
        <f t="shared" si="6"/>
        <v>82818.21228</v>
      </c>
      <c r="D291" s="408">
        <f t="shared" si="7"/>
        <v>406539.5377</v>
      </c>
      <c r="E291" s="176">
        <f t="shared" si="8"/>
        <v>35732316.73</v>
      </c>
      <c r="F291" s="408">
        <f t="shared" si="11"/>
        <v>52882720.33</v>
      </c>
      <c r="G291" s="408">
        <f t="shared" si="12"/>
        <v>137020170</v>
      </c>
      <c r="H291" s="410">
        <f>IF(K291&gt;='Pro Forma Detail'!D$66,'Pro Forma Detail'!D$67,'Debt ReFi'!$B$5)</f>
        <v>0.0275</v>
      </c>
      <c r="I291" s="1">
        <f t="shared" si="1"/>
        <v>280</v>
      </c>
      <c r="J291" s="406">
        <f t="shared" si="13"/>
        <v>54149</v>
      </c>
      <c r="K291" s="105">
        <f t="shared" si="9"/>
        <v>28</v>
      </c>
      <c r="L291" s="411">
        <f t="shared" si="10"/>
        <v>489357.75</v>
      </c>
      <c r="M291" s="407">
        <f t="shared" si="2"/>
        <v>406539.5377</v>
      </c>
      <c r="N291" s="407">
        <f t="shared" si="3"/>
        <v>82818.21228</v>
      </c>
      <c r="O291" s="407">
        <f t="shared" si="4"/>
        <v>35732316.73</v>
      </c>
      <c r="P291" s="1"/>
    </row>
    <row r="292" ht="12.75" customHeight="1">
      <c r="A292" s="1">
        <v>281.0</v>
      </c>
      <c r="B292" s="408">
        <f t="shared" si="5"/>
        <v>489357.75</v>
      </c>
      <c r="C292" s="408">
        <f t="shared" si="6"/>
        <v>81886.55917</v>
      </c>
      <c r="D292" s="408">
        <f t="shared" si="7"/>
        <v>407471.1908</v>
      </c>
      <c r="E292" s="176">
        <f t="shared" si="8"/>
        <v>35324845.54</v>
      </c>
      <c r="F292" s="408">
        <f t="shared" si="11"/>
        <v>52964606.89</v>
      </c>
      <c r="G292" s="408">
        <f t="shared" si="12"/>
        <v>137509527.7</v>
      </c>
      <c r="H292" s="410">
        <f>IF(K292&gt;='Pro Forma Detail'!D$66,'Pro Forma Detail'!D$67,'Debt ReFi'!$B$5)</f>
        <v>0.0275</v>
      </c>
      <c r="I292" s="1">
        <f t="shared" si="1"/>
        <v>281</v>
      </c>
      <c r="J292" s="406">
        <f t="shared" si="13"/>
        <v>54179</v>
      </c>
      <c r="K292" s="105">
        <f t="shared" si="9"/>
        <v>28</v>
      </c>
      <c r="L292" s="411">
        <f t="shared" si="10"/>
        <v>489357.75</v>
      </c>
      <c r="M292" s="407">
        <f t="shared" si="2"/>
        <v>407471.1908</v>
      </c>
      <c r="N292" s="407">
        <f t="shared" si="3"/>
        <v>81886.55917</v>
      </c>
      <c r="O292" s="407">
        <f t="shared" si="4"/>
        <v>35324845.54</v>
      </c>
      <c r="P292" s="1"/>
    </row>
    <row r="293" ht="12.75" customHeight="1">
      <c r="A293" s="1">
        <v>282.0</v>
      </c>
      <c r="B293" s="408">
        <f t="shared" si="5"/>
        <v>489357.75</v>
      </c>
      <c r="C293" s="408">
        <f t="shared" si="6"/>
        <v>80952.77103</v>
      </c>
      <c r="D293" s="408">
        <f t="shared" si="7"/>
        <v>408404.9789</v>
      </c>
      <c r="E293" s="176">
        <f t="shared" si="8"/>
        <v>34916440.56</v>
      </c>
      <c r="F293" s="408">
        <f t="shared" si="11"/>
        <v>53045559.66</v>
      </c>
      <c r="G293" s="408">
        <f t="shared" si="12"/>
        <v>137998885.5</v>
      </c>
      <c r="H293" s="410">
        <f>IF(K293&gt;='Pro Forma Detail'!D$66,'Pro Forma Detail'!D$67,'Debt ReFi'!$B$5)</f>
        <v>0.0275</v>
      </c>
      <c r="I293" s="1">
        <f t="shared" si="1"/>
        <v>282</v>
      </c>
      <c r="J293" s="406">
        <f t="shared" si="13"/>
        <v>54210</v>
      </c>
      <c r="K293" s="105">
        <f t="shared" si="9"/>
        <v>28</v>
      </c>
      <c r="L293" s="411">
        <f t="shared" si="10"/>
        <v>489357.75</v>
      </c>
      <c r="M293" s="407">
        <f t="shared" si="2"/>
        <v>408404.9789</v>
      </c>
      <c r="N293" s="407">
        <f t="shared" si="3"/>
        <v>80952.77103</v>
      </c>
      <c r="O293" s="407">
        <f t="shared" si="4"/>
        <v>34916440.56</v>
      </c>
      <c r="P293" s="1"/>
    </row>
    <row r="294" ht="12.75" customHeight="1">
      <c r="A294" s="1">
        <v>283.0</v>
      </c>
      <c r="B294" s="408">
        <f t="shared" si="5"/>
        <v>489357.75</v>
      </c>
      <c r="C294" s="408">
        <f t="shared" si="6"/>
        <v>80016.84295</v>
      </c>
      <c r="D294" s="408">
        <f t="shared" si="7"/>
        <v>409340.907</v>
      </c>
      <c r="E294" s="176">
        <f t="shared" si="8"/>
        <v>34507099.65</v>
      </c>
      <c r="F294" s="408">
        <f t="shared" si="11"/>
        <v>53125576.51</v>
      </c>
      <c r="G294" s="408">
        <f t="shared" si="12"/>
        <v>138488243.2</v>
      </c>
      <c r="H294" s="410">
        <f>IF(K294&gt;='Pro Forma Detail'!D$66,'Pro Forma Detail'!D$67,'Debt ReFi'!$B$5)</f>
        <v>0.0275</v>
      </c>
      <c r="I294" s="1">
        <f t="shared" si="1"/>
        <v>283</v>
      </c>
      <c r="J294" s="406">
        <f t="shared" si="13"/>
        <v>54240</v>
      </c>
      <c r="K294" s="105">
        <f t="shared" si="9"/>
        <v>28</v>
      </c>
      <c r="L294" s="411">
        <f t="shared" si="10"/>
        <v>489357.75</v>
      </c>
      <c r="M294" s="407">
        <f t="shared" si="2"/>
        <v>409340.907</v>
      </c>
      <c r="N294" s="407">
        <f t="shared" si="3"/>
        <v>80016.84295</v>
      </c>
      <c r="O294" s="407">
        <f t="shared" si="4"/>
        <v>34507099.65</v>
      </c>
      <c r="P294" s="1"/>
    </row>
    <row r="295" ht="12.75" customHeight="1">
      <c r="A295" s="1">
        <v>284.0</v>
      </c>
      <c r="B295" s="408">
        <f t="shared" si="5"/>
        <v>489357.75</v>
      </c>
      <c r="C295" s="408">
        <f t="shared" si="6"/>
        <v>79078.77004</v>
      </c>
      <c r="D295" s="408">
        <f t="shared" si="7"/>
        <v>410278.9799</v>
      </c>
      <c r="E295" s="176">
        <f t="shared" si="8"/>
        <v>34096820.67</v>
      </c>
      <c r="F295" s="408">
        <f t="shared" si="11"/>
        <v>53204655.28</v>
      </c>
      <c r="G295" s="408">
        <f t="shared" si="12"/>
        <v>138977601</v>
      </c>
      <c r="H295" s="410">
        <f>IF(K295&gt;='Pro Forma Detail'!D$66,'Pro Forma Detail'!D$67,'Debt ReFi'!$B$5)</f>
        <v>0.0275</v>
      </c>
      <c r="I295" s="1">
        <f t="shared" si="1"/>
        <v>284</v>
      </c>
      <c r="J295" s="406">
        <f t="shared" si="13"/>
        <v>54271</v>
      </c>
      <c r="K295" s="105">
        <f t="shared" si="9"/>
        <v>28</v>
      </c>
      <c r="L295" s="411">
        <f t="shared" si="10"/>
        <v>489357.75</v>
      </c>
      <c r="M295" s="407">
        <f t="shared" si="2"/>
        <v>410278.9799</v>
      </c>
      <c r="N295" s="407">
        <f t="shared" si="3"/>
        <v>79078.77004</v>
      </c>
      <c r="O295" s="407">
        <f t="shared" si="4"/>
        <v>34096820.67</v>
      </c>
      <c r="P295" s="1"/>
    </row>
    <row r="296" ht="12.75" customHeight="1">
      <c r="A296" s="1">
        <v>285.0</v>
      </c>
      <c r="B296" s="408">
        <f t="shared" si="5"/>
        <v>489357.75</v>
      </c>
      <c r="C296" s="408">
        <f t="shared" si="6"/>
        <v>78138.54738</v>
      </c>
      <c r="D296" s="408">
        <f t="shared" si="7"/>
        <v>411219.2026</v>
      </c>
      <c r="E296" s="176">
        <f t="shared" si="8"/>
        <v>33685601.47</v>
      </c>
      <c r="F296" s="408">
        <f t="shared" si="11"/>
        <v>53282793.82</v>
      </c>
      <c r="G296" s="408">
        <f t="shared" si="12"/>
        <v>139466958.7</v>
      </c>
      <c r="H296" s="410">
        <f>IF(K296&gt;='Pro Forma Detail'!D$66,'Pro Forma Detail'!D$67,'Debt ReFi'!$B$5)</f>
        <v>0.0275</v>
      </c>
      <c r="I296" s="1">
        <f t="shared" si="1"/>
        <v>285</v>
      </c>
      <c r="J296" s="406">
        <f t="shared" si="13"/>
        <v>54302</v>
      </c>
      <c r="K296" s="105">
        <f t="shared" si="9"/>
        <v>28</v>
      </c>
      <c r="L296" s="411">
        <f t="shared" si="10"/>
        <v>489357.75</v>
      </c>
      <c r="M296" s="407">
        <f t="shared" si="2"/>
        <v>411219.2026</v>
      </c>
      <c r="N296" s="407">
        <f t="shared" si="3"/>
        <v>78138.54738</v>
      </c>
      <c r="O296" s="407">
        <f t="shared" si="4"/>
        <v>33685601.47</v>
      </c>
      <c r="P296" s="1"/>
    </row>
    <row r="297" ht="12.75" customHeight="1">
      <c r="A297" s="1">
        <v>286.0</v>
      </c>
      <c r="B297" s="408">
        <f t="shared" si="5"/>
        <v>489357.75</v>
      </c>
      <c r="C297" s="408">
        <f t="shared" si="6"/>
        <v>77196.17004</v>
      </c>
      <c r="D297" s="408">
        <f t="shared" si="7"/>
        <v>412161.5799</v>
      </c>
      <c r="E297" s="176">
        <f t="shared" si="8"/>
        <v>33273439.89</v>
      </c>
      <c r="F297" s="408">
        <f t="shared" si="11"/>
        <v>53359989.99</v>
      </c>
      <c r="G297" s="408">
        <f t="shared" si="12"/>
        <v>139956316.5</v>
      </c>
      <c r="H297" s="410">
        <f>IF(K297&gt;='Pro Forma Detail'!D$66,'Pro Forma Detail'!D$67,'Debt ReFi'!$B$5)</f>
        <v>0.0275</v>
      </c>
      <c r="I297" s="1">
        <f t="shared" si="1"/>
        <v>286</v>
      </c>
      <c r="J297" s="406">
        <f t="shared" si="13"/>
        <v>54332</v>
      </c>
      <c r="K297" s="105">
        <f t="shared" si="9"/>
        <v>28</v>
      </c>
      <c r="L297" s="411">
        <f t="shared" si="10"/>
        <v>489357.75</v>
      </c>
      <c r="M297" s="407">
        <f t="shared" si="2"/>
        <v>412161.5799</v>
      </c>
      <c r="N297" s="407">
        <f t="shared" si="3"/>
        <v>77196.17004</v>
      </c>
      <c r="O297" s="407">
        <f t="shared" si="4"/>
        <v>33273439.89</v>
      </c>
      <c r="P297" s="1"/>
    </row>
    <row r="298" ht="12.75" customHeight="1">
      <c r="A298" s="1">
        <v>287.0</v>
      </c>
      <c r="B298" s="408">
        <f t="shared" si="5"/>
        <v>489357.75</v>
      </c>
      <c r="C298" s="408">
        <f t="shared" si="6"/>
        <v>76251.63308</v>
      </c>
      <c r="D298" s="408">
        <f t="shared" si="7"/>
        <v>413106.1169</v>
      </c>
      <c r="E298" s="176">
        <f t="shared" si="8"/>
        <v>32860333.77</v>
      </c>
      <c r="F298" s="408">
        <f t="shared" si="11"/>
        <v>53436241.63</v>
      </c>
      <c r="G298" s="408">
        <f t="shared" si="12"/>
        <v>140445674.2</v>
      </c>
      <c r="H298" s="410">
        <f>IF(K298&gt;='Pro Forma Detail'!D$66,'Pro Forma Detail'!D$67,'Debt ReFi'!$B$5)</f>
        <v>0.0275</v>
      </c>
      <c r="I298" s="1">
        <f t="shared" si="1"/>
        <v>287</v>
      </c>
      <c r="J298" s="406">
        <f t="shared" si="13"/>
        <v>54363</v>
      </c>
      <c r="K298" s="105">
        <f t="shared" si="9"/>
        <v>28</v>
      </c>
      <c r="L298" s="411">
        <f t="shared" si="10"/>
        <v>489357.75</v>
      </c>
      <c r="M298" s="407">
        <f t="shared" si="2"/>
        <v>413106.1169</v>
      </c>
      <c r="N298" s="407">
        <f t="shared" si="3"/>
        <v>76251.63308</v>
      </c>
      <c r="O298" s="407">
        <f t="shared" si="4"/>
        <v>32860333.77</v>
      </c>
      <c r="P298" s="1"/>
    </row>
    <row r="299" ht="12.75" customHeight="1">
      <c r="A299" s="1">
        <v>288.0</v>
      </c>
      <c r="B299" s="408">
        <f t="shared" si="5"/>
        <v>489357.75</v>
      </c>
      <c r="C299" s="408">
        <f t="shared" si="6"/>
        <v>75304.93157</v>
      </c>
      <c r="D299" s="408">
        <f t="shared" si="7"/>
        <v>414052.8184</v>
      </c>
      <c r="E299" s="176">
        <f t="shared" si="8"/>
        <v>32446280.96</v>
      </c>
      <c r="F299" s="408">
        <f t="shared" si="11"/>
        <v>53511546.56</v>
      </c>
      <c r="G299" s="408">
        <f t="shared" si="12"/>
        <v>140935032</v>
      </c>
      <c r="H299" s="410">
        <f>IF(K299&gt;='Pro Forma Detail'!D$66,'Pro Forma Detail'!D$67,'Debt ReFi'!$B$5)</f>
        <v>0.0275</v>
      </c>
      <c r="I299" s="1">
        <f t="shared" si="1"/>
        <v>288</v>
      </c>
      <c r="J299" s="406">
        <f t="shared" si="13"/>
        <v>54393</v>
      </c>
      <c r="K299" s="105">
        <f t="shared" si="9"/>
        <v>28</v>
      </c>
      <c r="L299" s="411">
        <f t="shared" si="10"/>
        <v>489357.75</v>
      </c>
      <c r="M299" s="407">
        <f t="shared" si="2"/>
        <v>414052.8184</v>
      </c>
      <c r="N299" s="407">
        <f t="shared" si="3"/>
        <v>75304.93157</v>
      </c>
      <c r="O299" s="407">
        <f t="shared" si="4"/>
        <v>32446280.96</v>
      </c>
      <c r="P299" s="1"/>
    </row>
    <row r="300" ht="12.75" customHeight="1">
      <c r="A300" s="1">
        <v>289.0</v>
      </c>
      <c r="B300" s="408">
        <f t="shared" si="5"/>
        <v>489357.75</v>
      </c>
      <c r="C300" s="408">
        <f t="shared" si="6"/>
        <v>74356.06052</v>
      </c>
      <c r="D300" s="408">
        <f t="shared" si="7"/>
        <v>415001.6894</v>
      </c>
      <c r="E300" s="176">
        <f t="shared" si="8"/>
        <v>32031279.27</v>
      </c>
      <c r="F300" s="408">
        <f t="shared" si="11"/>
        <v>53585902.62</v>
      </c>
      <c r="G300" s="408">
        <f t="shared" si="12"/>
        <v>141424389.7</v>
      </c>
      <c r="H300" s="410">
        <f>IF(K300&gt;='Pro Forma Detail'!D$66,'Pro Forma Detail'!D$67,'Debt ReFi'!$B$5)</f>
        <v>0.0275</v>
      </c>
      <c r="I300" s="1">
        <f t="shared" si="1"/>
        <v>289</v>
      </c>
      <c r="J300" s="406">
        <f t="shared" si="13"/>
        <v>54424</v>
      </c>
      <c r="K300" s="105">
        <f t="shared" si="9"/>
        <v>29</v>
      </c>
      <c r="L300" s="411">
        <f t="shared" si="10"/>
        <v>489357.75</v>
      </c>
      <c r="M300" s="407">
        <f t="shared" si="2"/>
        <v>415001.6894</v>
      </c>
      <c r="N300" s="407">
        <f t="shared" si="3"/>
        <v>74356.06052</v>
      </c>
      <c r="O300" s="407">
        <f t="shared" si="4"/>
        <v>32031279.27</v>
      </c>
      <c r="P300" s="1"/>
    </row>
    <row r="301" ht="12.75" customHeight="1">
      <c r="A301" s="1">
        <v>290.0</v>
      </c>
      <c r="B301" s="408">
        <f t="shared" si="5"/>
        <v>489357.75</v>
      </c>
      <c r="C301" s="408">
        <f t="shared" si="6"/>
        <v>73405.01499</v>
      </c>
      <c r="D301" s="408">
        <f t="shared" si="7"/>
        <v>415952.735</v>
      </c>
      <c r="E301" s="176">
        <f t="shared" si="8"/>
        <v>31615326.53</v>
      </c>
      <c r="F301" s="408">
        <f t="shared" si="11"/>
        <v>53659307.63</v>
      </c>
      <c r="G301" s="408">
        <f t="shared" si="12"/>
        <v>141913747.5</v>
      </c>
      <c r="H301" s="410">
        <f>IF(K301&gt;='Pro Forma Detail'!D$66,'Pro Forma Detail'!D$67,'Debt ReFi'!$B$5)</f>
        <v>0.0275</v>
      </c>
      <c r="I301" s="1">
        <f t="shared" si="1"/>
        <v>290</v>
      </c>
      <c r="J301" s="406">
        <f t="shared" si="13"/>
        <v>54455</v>
      </c>
      <c r="K301" s="105">
        <f t="shared" si="9"/>
        <v>29</v>
      </c>
      <c r="L301" s="411">
        <f t="shared" si="10"/>
        <v>489357.75</v>
      </c>
      <c r="M301" s="407">
        <f t="shared" si="2"/>
        <v>415952.735</v>
      </c>
      <c r="N301" s="407">
        <f t="shared" si="3"/>
        <v>73405.01499</v>
      </c>
      <c r="O301" s="407">
        <f t="shared" si="4"/>
        <v>31615326.53</v>
      </c>
      <c r="P301" s="1"/>
    </row>
    <row r="302" ht="12.75" customHeight="1">
      <c r="A302" s="1">
        <v>291.0</v>
      </c>
      <c r="B302" s="408">
        <f t="shared" si="5"/>
        <v>489357.75</v>
      </c>
      <c r="C302" s="408">
        <f t="shared" si="6"/>
        <v>72451.78997</v>
      </c>
      <c r="D302" s="408">
        <f t="shared" si="7"/>
        <v>416905.96</v>
      </c>
      <c r="E302" s="176">
        <f t="shared" si="8"/>
        <v>31198420.57</v>
      </c>
      <c r="F302" s="408">
        <f t="shared" si="11"/>
        <v>53731759.42</v>
      </c>
      <c r="G302" s="408">
        <f t="shared" si="12"/>
        <v>142403105.2</v>
      </c>
      <c r="H302" s="410">
        <f>IF(K302&gt;='Pro Forma Detail'!D$66,'Pro Forma Detail'!D$67,'Debt ReFi'!$B$5)</f>
        <v>0.0275</v>
      </c>
      <c r="I302" s="1">
        <f t="shared" si="1"/>
        <v>291</v>
      </c>
      <c r="J302" s="406">
        <f t="shared" si="13"/>
        <v>54483</v>
      </c>
      <c r="K302" s="105">
        <f t="shared" si="9"/>
        <v>29</v>
      </c>
      <c r="L302" s="411">
        <f t="shared" si="10"/>
        <v>489357.75</v>
      </c>
      <c r="M302" s="407">
        <f t="shared" si="2"/>
        <v>416905.96</v>
      </c>
      <c r="N302" s="407">
        <f t="shared" si="3"/>
        <v>72451.78997</v>
      </c>
      <c r="O302" s="407">
        <f t="shared" si="4"/>
        <v>31198420.57</v>
      </c>
      <c r="P302" s="1"/>
    </row>
    <row r="303" ht="12.75" customHeight="1">
      <c r="A303" s="1">
        <v>292.0</v>
      </c>
      <c r="B303" s="408">
        <f t="shared" si="5"/>
        <v>489357.75</v>
      </c>
      <c r="C303" s="408">
        <f t="shared" si="6"/>
        <v>71496.38048</v>
      </c>
      <c r="D303" s="408">
        <f t="shared" si="7"/>
        <v>417861.3695</v>
      </c>
      <c r="E303" s="176">
        <f t="shared" si="8"/>
        <v>30780559.2</v>
      </c>
      <c r="F303" s="408">
        <f t="shared" si="11"/>
        <v>53803255.8</v>
      </c>
      <c r="G303" s="408">
        <f t="shared" si="12"/>
        <v>142892463</v>
      </c>
      <c r="H303" s="410">
        <f>IF(K303&gt;='Pro Forma Detail'!D$66,'Pro Forma Detail'!D$67,'Debt ReFi'!$B$5)</f>
        <v>0.0275</v>
      </c>
      <c r="I303" s="1">
        <f t="shared" si="1"/>
        <v>292</v>
      </c>
      <c r="J303" s="406">
        <f t="shared" si="13"/>
        <v>54514</v>
      </c>
      <c r="K303" s="105">
        <f t="shared" si="9"/>
        <v>29</v>
      </c>
      <c r="L303" s="411">
        <f t="shared" si="10"/>
        <v>489357.75</v>
      </c>
      <c r="M303" s="407">
        <f t="shared" si="2"/>
        <v>417861.3695</v>
      </c>
      <c r="N303" s="407">
        <f t="shared" si="3"/>
        <v>71496.38048</v>
      </c>
      <c r="O303" s="407">
        <f t="shared" si="4"/>
        <v>30780559.2</v>
      </c>
      <c r="P303" s="1"/>
    </row>
    <row r="304" ht="12.75" customHeight="1">
      <c r="A304" s="1">
        <v>293.0</v>
      </c>
      <c r="B304" s="408">
        <f t="shared" si="5"/>
        <v>489357.75</v>
      </c>
      <c r="C304" s="408">
        <f t="shared" si="6"/>
        <v>70538.78151</v>
      </c>
      <c r="D304" s="408">
        <f t="shared" si="7"/>
        <v>418818.9685</v>
      </c>
      <c r="E304" s="176">
        <f t="shared" si="8"/>
        <v>30361740.23</v>
      </c>
      <c r="F304" s="408">
        <f t="shared" si="11"/>
        <v>53873794.58</v>
      </c>
      <c r="G304" s="408">
        <f t="shared" si="12"/>
        <v>143381820.7</v>
      </c>
      <c r="H304" s="410">
        <f>IF(K304&gt;='Pro Forma Detail'!D$66,'Pro Forma Detail'!D$67,'Debt ReFi'!$B$5)</f>
        <v>0.0275</v>
      </c>
      <c r="I304" s="1">
        <f t="shared" si="1"/>
        <v>293</v>
      </c>
      <c r="J304" s="406">
        <f t="shared" si="13"/>
        <v>54544</v>
      </c>
      <c r="K304" s="105">
        <f t="shared" si="9"/>
        <v>29</v>
      </c>
      <c r="L304" s="411">
        <f t="shared" si="10"/>
        <v>489357.75</v>
      </c>
      <c r="M304" s="407">
        <f t="shared" si="2"/>
        <v>418818.9685</v>
      </c>
      <c r="N304" s="407">
        <f t="shared" si="3"/>
        <v>70538.78151</v>
      </c>
      <c r="O304" s="407">
        <f t="shared" si="4"/>
        <v>30361740.23</v>
      </c>
      <c r="P304" s="1"/>
    </row>
    <row r="305" ht="12.75" customHeight="1">
      <c r="A305" s="1">
        <v>294.0</v>
      </c>
      <c r="B305" s="408">
        <f t="shared" si="5"/>
        <v>489357.75</v>
      </c>
      <c r="C305" s="408">
        <f t="shared" si="6"/>
        <v>69578.98804</v>
      </c>
      <c r="D305" s="408">
        <f t="shared" si="7"/>
        <v>419778.7619</v>
      </c>
      <c r="E305" s="176">
        <f t="shared" si="8"/>
        <v>29941961.47</v>
      </c>
      <c r="F305" s="408">
        <f t="shared" si="11"/>
        <v>53943373.57</v>
      </c>
      <c r="G305" s="408">
        <f t="shared" si="12"/>
        <v>143871178.5</v>
      </c>
      <c r="H305" s="410">
        <f>IF(K305&gt;='Pro Forma Detail'!D$66,'Pro Forma Detail'!D$67,'Debt ReFi'!$B$5)</f>
        <v>0.0275</v>
      </c>
      <c r="I305" s="1">
        <f t="shared" si="1"/>
        <v>294</v>
      </c>
      <c r="J305" s="406">
        <f t="shared" si="13"/>
        <v>54575</v>
      </c>
      <c r="K305" s="105">
        <f t="shared" si="9"/>
        <v>29</v>
      </c>
      <c r="L305" s="411">
        <f t="shared" si="10"/>
        <v>489357.75</v>
      </c>
      <c r="M305" s="407">
        <f t="shared" si="2"/>
        <v>419778.7619</v>
      </c>
      <c r="N305" s="407">
        <f t="shared" si="3"/>
        <v>69578.98804</v>
      </c>
      <c r="O305" s="407">
        <f t="shared" si="4"/>
        <v>29941961.47</v>
      </c>
      <c r="P305" s="1"/>
    </row>
    <row r="306" ht="12.75" customHeight="1">
      <c r="A306" s="1">
        <v>295.0</v>
      </c>
      <c r="B306" s="408">
        <f t="shared" si="5"/>
        <v>489357.75</v>
      </c>
      <c r="C306" s="408">
        <f t="shared" si="6"/>
        <v>68616.99504</v>
      </c>
      <c r="D306" s="408">
        <f t="shared" si="7"/>
        <v>420740.7549</v>
      </c>
      <c r="E306" s="176">
        <f t="shared" si="8"/>
        <v>29521220.72</v>
      </c>
      <c r="F306" s="408">
        <f t="shared" si="11"/>
        <v>54011990.57</v>
      </c>
      <c r="G306" s="408">
        <f t="shared" si="12"/>
        <v>144360536.2</v>
      </c>
      <c r="H306" s="410">
        <f>IF(K306&gt;='Pro Forma Detail'!D$66,'Pro Forma Detail'!D$67,'Debt ReFi'!$B$5)</f>
        <v>0.0275</v>
      </c>
      <c r="I306" s="1">
        <f t="shared" si="1"/>
        <v>295</v>
      </c>
      <c r="J306" s="406">
        <f t="shared" si="13"/>
        <v>54605</v>
      </c>
      <c r="K306" s="105">
        <f t="shared" si="9"/>
        <v>29</v>
      </c>
      <c r="L306" s="411">
        <f t="shared" si="10"/>
        <v>489357.75</v>
      </c>
      <c r="M306" s="407">
        <f t="shared" si="2"/>
        <v>420740.7549</v>
      </c>
      <c r="N306" s="407">
        <f t="shared" si="3"/>
        <v>68616.99504</v>
      </c>
      <c r="O306" s="407">
        <f t="shared" si="4"/>
        <v>29521220.72</v>
      </c>
      <c r="P306" s="1"/>
    </row>
    <row r="307" ht="12.75" customHeight="1">
      <c r="A307" s="1">
        <v>296.0</v>
      </c>
      <c r="B307" s="408">
        <f t="shared" si="5"/>
        <v>489357.75</v>
      </c>
      <c r="C307" s="408">
        <f t="shared" si="6"/>
        <v>67652.79748</v>
      </c>
      <c r="D307" s="408">
        <f t="shared" si="7"/>
        <v>421704.9525</v>
      </c>
      <c r="E307" s="176">
        <f t="shared" si="8"/>
        <v>29099515.76</v>
      </c>
      <c r="F307" s="408">
        <f t="shared" si="11"/>
        <v>54079643.37</v>
      </c>
      <c r="G307" s="408">
        <f t="shared" si="12"/>
        <v>144849894</v>
      </c>
      <c r="H307" s="410">
        <f>IF(K307&gt;='Pro Forma Detail'!D$66,'Pro Forma Detail'!D$67,'Debt ReFi'!$B$5)</f>
        <v>0.0275</v>
      </c>
      <c r="I307" s="1">
        <f t="shared" si="1"/>
        <v>296</v>
      </c>
      <c r="J307" s="406">
        <f t="shared" si="13"/>
        <v>54636</v>
      </c>
      <c r="K307" s="105">
        <f t="shared" si="9"/>
        <v>29</v>
      </c>
      <c r="L307" s="411">
        <f t="shared" si="10"/>
        <v>489357.75</v>
      </c>
      <c r="M307" s="407">
        <f t="shared" si="2"/>
        <v>421704.9525</v>
      </c>
      <c r="N307" s="407">
        <f t="shared" si="3"/>
        <v>67652.79748</v>
      </c>
      <c r="O307" s="407">
        <f t="shared" si="4"/>
        <v>29099515.76</v>
      </c>
      <c r="P307" s="1"/>
    </row>
    <row r="308" ht="12.75" customHeight="1">
      <c r="A308" s="1">
        <v>297.0</v>
      </c>
      <c r="B308" s="408">
        <f t="shared" si="5"/>
        <v>489357.75</v>
      </c>
      <c r="C308" s="408">
        <f t="shared" si="6"/>
        <v>66686.39029</v>
      </c>
      <c r="D308" s="408">
        <f t="shared" si="7"/>
        <v>422671.3597</v>
      </c>
      <c r="E308" s="176">
        <f t="shared" si="8"/>
        <v>28676844.4</v>
      </c>
      <c r="F308" s="408">
        <f t="shared" si="11"/>
        <v>54146329.76</v>
      </c>
      <c r="G308" s="408">
        <f t="shared" si="12"/>
        <v>145339251.7</v>
      </c>
      <c r="H308" s="410">
        <f>IF(K308&gt;='Pro Forma Detail'!D$66,'Pro Forma Detail'!D$67,'Debt ReFi'!$B$5)</f>
        <v>0.0275</v>
      </c>
      <c r="I308" s="1">
        <f t="shared" si="1"/>
        <v>297</v>
      </c>
      <c r="J308" s="406">
        <f t="shared" si="13"/>
        <v>54667</v>
      </c>
      <c r="K308" s="105">
        <f t="shared" si="9"/>
        <v>29</v>
      </c>
      <c r="L308" s="411">
        <f t="shared" si="10"/>
        <v>489357.75</v>
      </c>
      <c r="M308" s="407">
        <f t="shared" si="2"/>
        <v>422671.3597</v>
      </c>
      <c r="N308" s="407">
        <f t="shared" si="3"/>
        <v>66686.39029</v>
      </c>
      <c r="O308" s="407">
        <f t="shared" si="4"/>
        <v>28676844.4</v>
      </c>
      <c r="P308" s="1"/>
    </row>
    <row r="309" ht="12.75" customHeight="1">
      <c r="A309" s="1">
        <v>298.0</v>
      </c>
      <c r="B309" s="408">
        <f t="shared" si="5"/>
        <v>489357.75</v>
      </c>
      <c r="C309" s="408">
        <f t="shared" si="6"/>
        <v>65717.76843</v>
      </c>
      <c r="D309" s="408">
        <f t="shared" si="7"/>
        <v>423639.9815</v>
      </c>
      <c r="E309" s="176">
        <f t="shared" si="8"/>
        <v>28253204.42</v>
      </c>
      <c r="F309" s="408">
        <f t="shared" si="11"/>
        <v>54212047.52</v>
      </c>
      <c r="G309" s="408">
        <f t="shared" si="12"/>
        <v>145828609.5</v>
      </c>
      <c r="H309" s="410">
        <f>IF(K309&gt;='Pro Forma Detail'!D$66,'Pro Forma Detail'!D$67,'Debt ReFi'!$B$5)</f>
        <v>0.0275</v>
      </c>
      <c r="I309" s="1">
        <f t="shared" si="1"/>
        <v>298</v>
      </c>
      <c r="J309" s="406">
        <f t="shared" si="13"/>
        <v>54697</v>
      </c>
      <c r="K309" s="105">
        <f t="shared" si="9"/>
        <v>29</v>
      </c>
      <c r="L309" s="411">
        <f t="shared" si="10"/>
        <v>489357.75</v>
      </c>
      <c r="M309" s="407">
        <f t="shared" si="2"/>
        <v>423639.9815</v>
      </c>
      <c r="N309" s="407">
        <f t="shared" si="3"/>
        <v>65717.76843</v>
      </c>
      <c r="O309" s="407">
        <f t="shared" si="4"/>
        <v>28253204.42</v>
      </c>
      <c r="P309" s="1"/>
    </row>
    <row r="310" ht="12.75" customHeight="1">
      <c r="A310" s="1">
        <v>299.0</v>
      </c>
      <c r="B310" s="408">
        <f t="shared" si="5"/>
        <v>489357.75</v>
      </c>
      <c r="C310" s="408">
        <f t="shared" si="6"/>
        <v>64746.9268</v>
      </c>
      <c r="D310" s="408">
        <f t="shared" si="7"/>
        <v>424610.8232</v>
      </c>
      <c r="E310" s="176">
        <f t="shared" si="8"/>
        <v>27828593.6</v>
      </c>
      <c r="F310" s="408">
        <f t="shared" si="11"/>
        <v>54276794.45</v>
      </c>
      <c r="G310" s="408">
        <f t="shared" si="12"/>
        <v>146317967.2</v>
      </c>
      <c r="H310" s="410">
        <f>IF(K310&gt;='Pro Forma Detail'!D$66,'Pro Forma Detail'!D$67,'Debt ReFi'!$B$5)</f>
        <v>0.0275</v>
      </c>
      <c r="I310" s="1">
        <f t="shared" si="1"/>
        <v>299</v>
      </c>
      <c r="J310" s="406">
        <f t="shared" si="13"/>
        <v>54728</v>
      </c>
      <c r="K310" s="105">
        <f t="shared" si="9"/>
        <v>29</v>
      </c>
      <c r="L310" s="411">
        <f t="shared" si="10"/>
        <v>489357.75</v>
      </c>
      <c r="M310" s="407">
        <f t="shared" si="2"/>
        <v>424610.8232</v>
      </c>
      <c r="N310" s="407">
        <f t="shared" si="3"/>
        <v>64746.9268</v>
      </c>
      <c r="O310" s="407">
        <f t="shared" si="4"/>
        <v>27828593.6</v>
      </c>
      <c r="P310" s="1"/>
    </row>
    <row r="311" ht="12.75" customHeight="1">
      <c r="A311" s="1">
        <v>300.0</v>
      </c>
      <c r="B311" s="408">
        <f t="shared" si="5"/>
        <v>489357.75</v>
      </c>
      <c r="C311" s="408">
        <f t="shared" si="6"/>
        <v>63773.86033</v>
      </c>
      <c r="D311" s="408">
        <f t="shared" si="7"/>
        <v>425583.8896</v>
      </c>
      <c r="E311" s="176">
        <f t="shared" si="8"/>
        <v>27403009.71</v>
      </c>
      <c r="F311" s="408">
        <f t="shared" si="11"/>
        <v>54340568.31</v>
      </c>
      <c r="G311" s="408">
        <f t="shared" si="12"/>
        <v>146807325</v>
      </c>
      <c r="H311" s="410">
        <f>IF(K311&gt;='Pro Forma Detail'!D$66,'Pro Forma Detail'!D$67,'Debt ReFi'!$B$5)</f>
        <v>0.0275</v>
      </c>
      <c r="I311" s="1">
        <f t="shared" si="1"/>
        <v>300</v>
      </c>
      <c r="J311" s="406">
        <f t="shared" si="13"/>
        <v>54758</v>
      </c>
      <c r="K311" s="105">
        <f t="shared" si="9"/>
        <v>29</v>
      </c>
      <c r="L311" s="411">
        <f t="shared" si="10"/>
        <v>489357.75</v>
      </c>
      <c r="M311" s="407">
        <f t="shared" si="2"/>
        <v>425583.8896</v>
      </c>
      <c r="N311" s="407">
        <f t="shared" si="3"/>
        <v>63773.86033</v>
      </c>
      <c r="O311" s="407">
        <f t="shared" si="4"/>
        <v>27403009.71</v>
      </c>
      <c r="P311" s="1"/>
    </row>
    <row r="312" ht="12.75" customHeight="1">
      <c r="A312" s="1">
        <v>301.0</v>
      </c>
      <c r="B312" s="408">
        <f t="shared" si="5"/>
        <v>489357.75</v>
      </c>
      <c r="C312" s="408">
        <f t="shared" si="6"/>
        <v>62798.56392</v>
      </c>
      <c r="D312" s="408">
        <f t="shared" si="7"/>
        <v>426559.186</v>
      </c>
      <c r="E312" s="176">
        <f t="shared" si="8"/>
        <v>26976450.52</v>
      </c>
      <c r="F312" s="408">
        <f t="shared" si="11"/>
        <v>54403366.88</v>
      </c>
      <c r="G312" s="408">
        <f t="shared" si="12"/>
        <v>147296682.7</v>
      </c>
      <c r="H312" s="410">
        <f>IF(K312&gt;='Pro Forma Detail'!D$66,'Pro Forma Detail'!D$67,'Debt ReFi'!$B$5)</f>
        <v>0.0275</v>
      </c>
      <c r="I312" s="1">
        <f t="shared" si="1"/>
        <v>301</v>
      </c>
      <c r="J312" s="406">
        <f t="shared" si="13"/>
        <v>54789</v>
      </c>
      <c r="K312" s="105">
        <f t="shared" si="9"/>
        <v>30</v>
      </c>
      <c r="L312" s="411">
        <f t="shared" si="10"/>
        <v>489357.75</v>
      </c>
      <c r="M312" s="407">
        <f t="shared" si="2"/>
        <v>426559.186</v>
      </c>
      <c r="N312" s="407">
        <f t="shared" si="3"/>
        <v>62798.56392</v>
      </c>
      <c r="O312" s="407">
        <f t="shared" si="4"/>
        <v>26976450.52</v>
      </c>
      <c r="P312" s="1"/>
    </row>
    <row r="313" ht="12.75" customHeight="1">
      <c r="A313" s="1">
        <v>302.0</v>
      </c>
      <c r="B313" s="408">
        <f t="shared" si="5"/>
        <v>489357.75</v>
      </c>
      <c r="C313" s="408">
        <f t="shared" si="6"/>
        <v>61821.03245</v>
      </c>
      <c r="D313" s="408">
        <f t="shared" si="7"/>
        <v>427536.7175</v>
      </c>
      <c r="E313" s="176">
        <f t="shared" si="8"/>
        <v>26548913.81</v>
      </c>
      <c r="F313" s="408">
        <f t="shared" si="11"/>
        <v>54465187.91</v>
      </c>
      <c r="G313" s="408">
        <f t="shared" si="12"/>
        <v>147786040.5</v>
      </c>
      <c r="H313" s="410">
        <f>IF(K313&gt;='Pro Forma Detail'!D$66,'Pro Forma Detail'!D$67,'Debt ReFi'!$B$5)</f>
        <v>0.0275</v>
      </c>
      <c r="I313" s="1">
        <f t="shared" si="1"/>
        <v>302</v>
      </c>
      <c r="J313" s="406">
        <f t="shared" si="13"/>
        <v>54820</v>
      </c>
      <c r="K313" s="105">
        <f t="shared" si="9"/>
        <v>30</v>
      </c>
      <c r="L313" s="411">
        <f t="shared" si="10"/>
        <v>489357.75</v>
      </c>
      <c r="M313" s="407">
        <f t="shared" si="2"/>
        <v>427536.7175</v>
      </c>
      <c r="N313" s="407">
        <f t="shared" si="3"/>
        <v>61821.03245</v>
      </c>
      <c r="O313" s="407">
        <f t="shared" si="4"/>
        <v>26548913.81</v>
      </c>
      <c r="P313" s="1"/>
    </row>
    <row r="314" ht="12.75" customHeight="1">
      <c r="A314" s="1">
        <v>303.0</v>
      </c>
      <c r="B314" s="408">
        <f t="shared" si="5"/>
        <v>489357.75</v>
      </c>
      <c r="C314" s="408">
        <f t="shared" si="6"/>
        <v>60841.26081</v>
      </c>
      <c r="D314" s="408">
        <f t="shared" si="7"/>
        <v>428516.4891</v>
      </c>
      <c r="E314" s="176">
        <f t="shared" si="8"/>
        <v>26120397.32</v>
      </c>
      <c r="F314" s="408">
        <f t="shared" si="11"/>
        <v>54526029.17</v>
      </c>
      <c r="G314" s="408">
        <f t="shared" si="12"/>
        <v>148275398.2</v>
      </c>
      <c r="H314" s="410">
        <f>IF(K314&gt;='Pro Forma Detail'!D$66,'Pro Forma Detail'!D$67,'Debt ReFi'!$B$5)</f>
        <v>0.0275</v>
      </c>
      <c r="I314" s="1">
        <f t="shared" si="1"/>
        <v>303</v>
      </c>
      <c r="J314" s="406">
        <f t="shared" si="13"/>
        <v>54848</v>
      </c>
      <c r="K314" s="105">
        <f t="shared" si="9"/>
        <v>30</v>
      </c>
      <c r="L314" s="411">
        <f t="shared" si="10"/>
        <v>489357.75</v>
      </c>
      <c r="M314" s="407">
        <f t="shared" si="2"/>
        <v>428516.4891</v>
      </c>
      <c r="N314" s="407">
        <f t="shared" si="3"/>
        <v>60841.26081</v>
      </c>
      <c r="O314" s="407">
        <f t="shared" si="4"/>
        <v>26120397.32</v>
      </c>
      <c r="P314" s="1"/>
    </row>
    <row r="315" ht="12.75" customHeight="1">
      <c r="A315" s="1">
        <v>304.0</v>
      </c>
      <c r="B315" s="408">
        <f t="shared" si="5"/>
        <v>489357.75</v>
      </c>
      <c r="C315" s="408">
        <f t="shared" si="6"/>
        <v>59859.24385</v>
      </c>
      <c r="D315" s="408">
        <f t="shared" si="7"/>
        <v>429498.5061</v>
      </c>
      <c r="E315" s="176">
        <f t="shared" si="8"/>
        <v>25690898.81</v>
      </c>
      <c r="F315" s="408">
        <f t="shared" si="11"/>
        <v>54585888.41</v>
      </c>
      <c r="G315" s="408">
        <f t="shared" si="12"/>
        <v>148764756</v>
      </c>
      <c r="H315" s="410">
        <f>IF(K315&gt;='Pro Forma Detail'!D$66,'Pro Forma Detail'!D$67,'Debt ReFi'!$B$5)</f>
        <v>0.0275</v>
      </c>
      <c r="I315" s="1">
        <f t="shared" si="1"/>
        <v>304</v>
      </c>
      <c r="J315" s="406">
        <f t="shared" si="13"/>
        <v>54879</v>
      </c>
      <c r="K315" s="105">
        <f t="shared" si="9"/>
        <v>30</v>
      </c>
      <c r="L315" s="411">
        <f t="shared" si="10"/>
        <v>489357.75</v>
      </c>
      <c r="M315" s="407">
        <f t="shared" si="2"/>
        <v>429498.5061</v>
      </c>
      <c r="N315" s="407">
        <f t="shared" si="3"/>
        <v>59859.24385</v>
      </c>
      <c r="O315" s="407">
        <f t="shared" si="4"/>
        <v>25690898.81</v>
      </c>
      <c r="P315" s="1"/>
    </row>
    <row r="316" ht="12.75" customHeight="1">
      <c r="A316" s="1">
        <v>305.0</v>
      </c>
      <c r="B316" s="408">
        <f t="shared" si="5"/>
        <v>489357.75</v>
      </c>
      <c r="C316" s="408">
        <f t="shared" si="6"/>
        <v>58874.97644</v>
      </c>
      <c r="D316" s="408">
        <f t="shared" si="7"/>
        <v>430482.7735</v>
      </c>
      <c r="E316" s="176">
        <f t="shared" si="8"/>
        <v>25260416.04</v>
      </c>
      <c r="F316" s="408">
        <f t="shared" si="11"/>
        <v>54644763.39</v>
      </c>
      <c r="G316" s="408">
        <f t="shared" si="12"/>
        <v>149254113.7</v>
      </c>
      <c r="H316" s="410">
        <f>IF(K316&gt;='Pro Forma Detail'!D$66,'Pro Forma Detail'!D$67,'Debt ReFi'!$B$5)</f>
        <v>0.0275</v>
      </c>
      <c r="I316" s="1">
        <f t="shared" si="1"/>
        <v>305</v>
      </c>
      <c r="J316" s="406">
        <f t="shared" si="13"/>
        <v>54909</v>
      </c>
      <c r="K316" s="105">
        <f t="shared" si="9"/>
        <v>30</v>
      </c>
      <c r="L316" s="411">
        <f t="shared" si="10"/>
        <v>489357.75</v>
      </c>
      <c r="M316" s="407">
        <f t="shared" si="2"/>
        <v>430482.7735</v>
      </c>
      <c r="N316" s="407">
        <f t="shared" si="3"/>
        <v>58874.97644</v>
      </c>
      <c r="O316" s="407">
        <f t="shared" si="4"/>
        <v>25260416.04</v>
      </c>
      <c r="P316" s="1"/>
    </row>
    <row r="317" ht="12.75" customHeight="1">
      <c r="A317" s="1">
        <v>306.0</v>
      </c>
      <c r="B317" s="408">
        <f t="shared" si="5"/>
        <v>489357.75</v>
      </c>
      <c r="C317" s="408">
        <f t="shared" si="6"/>
        <v>57888.45342</v>
      </c>
      <c r="D317" s="408">
        <f t="shared" si="7"/>
        <v>431469.2965</v>
      </c>
      <c r="E317" s="176">
        <f t="shared" si="8"/>
        <v>24828946.74</v>
      </c>
      <c r="F317" s="408">
        <f t="shared" si="11"/>
        <v>54702651.84</v>
      </c>
      <c r="G317" s="408">
        <f t="shared" si="12"/>
        <v>149743471.5</v>
      </c>
      <c r="H317" s="410">
        <f>IF(K317&gt;='Pro Forma Detail'!D$66,'Pro Forma Detail'!D$67,'Debt ReFi'!$B$5)</f>
        <v>0.0275</v>
      </c>
      <c r="I317" s="1">
        <f t="shared" si="1"/>
        <v>306</v>
      </c>
      <c r="J317" s="406">
        <f t="shared" si="13"/>
        <v>54940</v>
      </c>
      <c r="K317" s="105">
        <f t="shared" si="9"/>
        <v>30</v>
      </c>
      <c r="L317" s="411">
        <f t="shared" si="10"/>
        <v>489357.75</v>
      </c>
      <c r="M317" s="407">
        <f t="shared" si="2"/>
        <v>431469.2965</v>
      </c>
      <c r="N317" s="407">
        <f t="shared" si="3"/>
        <v>57888.45342</v>
      </c>
      <c r="O317" s="407">
        <f t="shared" si="4"/>
        <v>24828946.74</v>
      </c>
      <c r="P317" s="1"/>
    </row>
    <row r="318" ht="12.75" customHeight="1">
      <c r="A318" s="1">
        <v>307.0</v>
      </c>
      <c r="B318" s="408">
        <f t="shared" si="5"/>
        <v>489357.75</v>
      </c>
      <c r="C318" s="408">
        <f t="shared" si="6"/>
        <v>56899.66962</v>
      </c>
      <c r="D318" s="408">
        <f t="shared" si="7"/>
        <v>432458.0803</v>
      </c>
      <c r="E318" s="176">
        <f t="shared" si="8"/>
        <v>24396488.66</v>
      </c>
      <c r="F318" s="408">
        <f t="shared" si="11"/>
        <v>54759551.51</v>
      </c>
      <c r="G318" s="408">
        <f t="shared" si="12"/>
        <v>150232829.2</v>
      </c>
      <c r="H318" s="410">
        <f>IF(K318&gt;='Pro Forma Detail'!D$66,'Pro Forma Detail'!D$67,'Debt ReFi'!$B$5)</f>
        <v>0.0275</v>
      </c>
      <c r="I318" s="1">
        <f t="shared" si="1"/>
        <v>307</v>
      </c>
      <c r="J318" s="406">
        <f t="shared" si="13"/>
        <v>54970</v>
      </c>
      <c r="K318" s="105">
        <f t="shared" si="9"/>
        <v>30</v>
      </c>
      <c r="L318" s="411">
        <f t="shared" si="10"/>
        <v>489357.75</v>
      </c>
      <c r="M318" s="407">
        <f t="shared" si="2"/>
        <v>432458.0803</v>
      </c>
      <c r="N318" s="407">
        <f t="shared" si="3"/>
        <v>56899.66962</v>
      </c>
      <c r="O318" s="407">
        <f t="shared" si="4"/>
        <v>24396488.66</v>
      </c>
      <c r="P318" s="1"/>
    </row>
    <row r="319" ht="12.75" customHeight="1">
      <c r="A319" s="1">
        <v>308.0</v>
      </c>
      <c r="B319" s="408">
        <f t="shared" si="5"/>
        <v>489357.75</v>
      </c>
      <c r="C319" s="408">
        <f t="shared" si="6"/>
        <v>55908.61985</v>
      </c>
      <c r="D319" s="408">
        <f t="shared" si="7"/>
        <v>433449.1301</v>
      </c>
      <c r="E319" s="176">
        <f t="shared" si="8"/>
        <v>23963039.53</v>
      </c>
      <c r="F319" s="408">
        <f t="shared" si="11"/>
        <v>54815460.13</v>
      </c>
      <c r="G319" s="408">
        <f t="shared" si="12"/>
        <v>150722187</v>
      </c>
      <c r="H319" s="410">
        <f>IF(K319&gt;='Pro Forma Detail'!D$66,'Pro Forma Detail'!D$67,'Debt ReFi'!$B$5)</f>
        <v>0.0275</v>
      </c>
      <c r="I319" s="1">
        <f t="shared" si="1"/>
        <v>308</v>
      </c>
      <c r="J319" s="406">
        <f t="shared" si="13"/>
        <v>55001</v>
      </c>
      <c r="K319" s="105">
        <f t="shared" si="9"/>
        <v>30</v>
      </c>
      <c r="L319" s="411">
        <f t="shared" si="10"/>
        <v>489357.75</v>
      </c>
      <c r="M319" s="407">
        <f t="shared" si="2"/>
        <v>433449.1301</v>
      </c>
      <c r="N319" s="407">
        <f t="shared" si="3"/>
        <v>55908.61985</v>
      </c>
      <c r="O319" s="407">
        <f t="shared" si="4"/>
        <v>23963039.53</v>
      </c>
      <c r="P319" s="1"/>
    </row>
    <row r="320" ht="12.75" customHeight="1">
      <c r="A320" s="1">
        <v>309.0</v>
      </c>
      <c r="B320" s="408">
        <f t="shared" si="5"/>
        <v>489357.75</v>
      </c>
      <c r="C320" s="408">
        <f t="shared" si="6"/>
        <v>54915.29893</v>
      </c>
      <c r="D320" s="408">
        <f t="shared" si="7"/>
        <v>434442.451</v>
      </c>
      <c r="E320" s="176">
        <f t="shared" si="8"/>
        <v>23528597.08</v>
      </c>
      <c r="F320" s="408">
        <f t="shared" si="11"/>
        <v>54870375.43</v>
      </c>
      <c r="G320" s="408">
        <f t="shared" si="12"/>
        <v>151211544.7</v>
      </c>
      <c r="H320" s="410">
        <f>IF(K320&gt;='Pro Forma Detail'!D$66,'Pro Forma Detail'!D$67,'Debt ReFi'!$B$5)</f>
        <v>0.0275</v>
      </c>
      <c r="I320" s="1">
        <f t="shared" si="1"/>
        <v>309</v>
      </c>
      <c r="J320" s="406">
        <f t="shared" si="13"/>
        <v>55032</v>
      </c>
      <c r="K320" s="105">
        <f t="shared" si="9"/>
        <v>30</v>
      </c>
      <c r="L320" s="411">
        <f t="shared" si="10"/>
        <v>489357.75</v>
      </c>
      <c r="M320" s="407">
        <f t="shared" si="2"/>
        <v>434442.451</v>
      </c>
      <c r="N320" s="407">
        <f t="shared" si="3"/>
        <v>54915.29893</v>
      </c>
      <c r="O320" s="407">
        <f t="shared" si="4"/>
        <v>23528597.08</v>
      </c>
      <c r="P320" s="1"/>
    </row>
    <row r="321" ht="12.75" customHeight="1">
      <c r="A321" s="1">
        <v>310.0</v>
      </c>
      <c r="B321" s="408">
        <f t="shared" si="5"/>
        <v>489357.75</v>
      </c>
      <c r="C321" s="408">
        <f t="shared" si="6"/>
        <v>53919.70164</v>
      </c>
      <c r="D321" s="408">
        <f t="shared" si="7"/>
        <v>435438.0483</v>
      </c>
      <c r="E321" s="176">
        <f t="shared" si="8"/>
        <v>23093159.03</v>
      </c>
      <c r="F321" s="408">
        <f t="shared" si="11"/>
        <v>54924295.13</v>
      </c>
      <c r="G321" s="408">
        <f t="shared" si="12"/>
        <v>151700902.5</v>
      </c>
      <c r="H321" s="410">
        <f>IF(K321&gt;='Pro Forma Detail'!D$66,'Pro Forma Detail'!D$67,'Debt ReFi'!$B$5)</f>
        <v>0.0275</v>
      </c>
      <c r="I321" s="1">
        <f t="shared" si="1"/>
        <v>310</v>
      </c>
      <c r="J321" s="406">
        <f t="shared" si="13"/>
        <v>55062</v>
      </c>
      <c r="K321" s="105">
        <f t="shared" si="9"/>
        <v>30</v>
      </c>
      <c r="L321" s="411">
        <f t="shared" si="10"/>
        <v>489357.75</v>
      </c>
      <c r="M321" s="407">
        <f t="shared" si="2"/>
        <v>435438.0483</v>
      </c>
      <c r="N321" s="407">
        <f t="shared" si="3"/>
        <v>53919.70164</v>
      </c>
      <c r="O321" s="407">
        <f t="shared" si="4"/>
        <v>23093159.03</v>
      </c>
      <c r="P321" s="1"/>
    </row>
    <row r="322" ht="12.75" customHeight="1">
      <c r="A322" s="1">
        <v>311.0</v>
      </c>
      <c r="B322" s="408">
        <f t="shared" si="5"/>
        <v>489357.75</v>
      </c>
      <c r="C322" s="408">
        <f t="shared" si="6"/>
        <v>52921.82278</v>
      </c>
      <c r="D322" s="408">
        <f t="shared" si="7"/>
        <v>436435.9272</v>
      </c>
      <c r="E322" s="176">
        <f t="shared" si="8"/>
        <v>22656723.1</v>
      </c>
      <c r="F322" s="408">
        <f t="shared" si="11"/>
        <v>54977216.95</v>
      </c>
      <c r="G322" s="408">
        <f t="shared" si="12"/>
        <v>152190260.2</v>
      </c>
      <c r="H322" s="410">
        <f>IF(K322&gt;='Pro Forma Detail'!D$66,'Pro Forma Detail'!D$67,'Debt ReFi'!$B$5)</f>
        <v>0.0275</v>
      </c>
      <c r="I322" s="1">
        <f t="shared" si="1"/>
        <v>311</v>
      </c>
      <c r="J322" s="406">
        <f t="shared" si="13"/>
        <v>55093</v>
      </c>
      <c r="K322" s="105">
        <f t="shared" si="9"/>
        <v>30</v>
      </c>
      <c r="L322" s="411">
        <f t="shared" si="10"/>
        <v>489357.75</v>
      </c>
      <c r="M322" s="407">
        <f t="shared" si="2"/>
        <v>436435.9272</v>
      </c>
      <c r="N322" s="407">
        <f t="shared" si="3"/>
        <v>52921.82278</v>
      </c>
      <c r="O322" s="407">
        <f t="shared" si="4"/>
        <v>22656723.1</v>
      </c>
      <c r="P322" s="1"/>
    </row>
    <row r="323" ht="12.75" customHeight="1">
      <c r="A323" s="1">
        <v>312.0</v>
      </c>
      <c r="B323" s="408">
        <f t="shared" si="5"/>
        <v>489357.75</v>
      </c>
      <c r="C323" s="408">
        <f t="shared" si="6"/>
        <v>51921.65712</v>
      </c>
      <c r="D323" s="408">
        <f t="shared" si="7"/>
        <v>437436.0928</v>
      </c>
      <c r="E323" s="176">
        <f t="shared" si="8"/>
        <v>22219287.01</v>
      </c>
      <c r="F323" s="408">
        <f t="shared" si="11"/>
        <v>55029138.61</v>
      </c>
      <c r="G323" s="408">
        <f t="shared" si="12"/>
        <v>152679618</v>
      </c>
      <c r="H323" s="410">
        <f>IF(K323&gt;='Pro Forma Detail'!D$66,'Pro Forma Detail'!D$67,'Debt ReFi'!$B$5)</f>
        <v>0.0275</v>
      </c>
      <c r="I323" s="1">
        <f t="shared" si="1"/>
        <v>312</v>
      </c>
      <c r="J323" s="406">
        <f t="shared" si="13"/>
        <v>55123</v>
      </c>
      <c r="K323" s="105">
        <f t="shared" si="9"/>
        <v>30</v>
      </c>
      <c r="L323" s="411">
        <f t="shared" si="10"/>
        <v>489357.75</v>
      </c>
      <c r="M323" s="407">
        <f t="shared" si="2"/>
        <v>437436.0928</v>
      </c>
      <c r="N323" s="407">
        <f t="shared" si="3"/>
        <v>51921.65712</v>
      </c>
      <c r="O323" s="407">
        <f t="shared" si="4"/>
        <v>22219287.01</v>
      </c>
      <c r="P323" s="1"/>
    </row>
    <row r="324" ht="12.75" customHeight="1">
      <c r="A324" s="1">
        <v>313.0</v>
      </c>
      <c r="B324" s="408">
        <f t="shared" si="5"/>
        <v>489357.75</v>
      </c>
      <c r="C324" s="408">
        <f t="shared" si="6"/>
        <v>50919.1994</v>
      </c>
      <c r="D324" s="408">
        <f t="shared" si="7"/>
        <v>438438.5506</v>
      </c>
      <c r="E324" s="176">
        <f t="shared" si="8"/>
        <v>21780848.46</v>
      </c>
      <c r="F324" s="408">
        <f t="shared" si="11"/>
        <v>55080057.81</v>
      </c>
      <c r="G324" s="408">
        <f t="shared" si="12"/>
        <v>153168975.7</v>
      </c>
      <c r="H324" s="410">
        <f>IF(K324&gt;='Pro Forma Detail'!D$66,'Pro Forma Detail'!D$67,'Debt ReFi'!$B$5)</f>
        <v>0.0275</v>
      </c>
      <c r="I324" s="1">
        <f t="shared" si="1"/>
        <v>313</v>
      </c>
      <c r="J324" s="406">
        <f t="shared" si="13"/>
        <v>55154</v>
      </c>
      <c r="K324" s="105">
        <f t="shared" si="9"/>
        <v>31</v>
      </c>
      <c r="L324" s="411">
        <f t="shared" si="10"/>
        <v>489357.75</v>
      </c>
      <c r="M324" s="407">
        <f t="shared" si="2"/>
        <v>438438.5506</v>
      </c>
      <c r="N324" s="407">
        <f t="shared" si="3"/>
        <v>50919.1994</v>
      </c>
      <c r="O324" s="407">
        <f t="shared" si="4"/>
        <v>21780848.46</v>
      </c>
      <c r="P324" s="1"/>
    </row>
    <row r="325" ht="12.75" customHeight="1">
      <c r="A325" s="1">
        <v>314.0</v>
      </c>
      <c r="B325" s="408">
        <f t="shared" si="5"/>
        <v>489357.75</v>
      </c>
      <c r="C325" s="408">
        <f t="shared" si="6"/>
        <v>49914.44439</v>
      </c>
      <c r="D325" s="408">
        <f t="shared" si="7"/>
        <v>439443.3056</v>
      </c>
      <c r="E325" s="176">
        <f t="shared" si="8"/>
        <v>21341405.16</v>
      </c>
      <c r="F325" s="408">
        <f t="shared" si="11"/>
        <v>55129972.26</v>
      </c>
      <c r="G325" s="408">
        <f t="shared" si="12"/>
        <v>153658333.5</v>
      </c>
      <c r="H325" s="410">
        <f>IF(K325&gt;='Pro Forma Detail'!D$66,'Pro Forma Detail'!D$67,'Debt ReFi'!$B$5)</f>
        <v>0.0275</v>
      </c>
      <c r="I325" s="1">
        <f t="shared" si="1"/>
        <v>314</v>
      </c>
      <c r="J325" s="406">
        <f t="shared" si="13"/>
        <v>55185</v>
      </c>
      <c r="K325" s="105">
        <f t="shared" si="9"/>
        <v>31</v>
      </c>
      <c r="L325" s="411">
        <f t="shared" si="10"/>
        <v>489357.75</v>
      </c>
      <c r="M325" s="407">
        <f t="shared" si="2"/>
        <v>439443.3056</v>
      </c>
      <c r="N325" s="407">
        <f t="shared" si="3"/>
        <v>49914.44439</v>
      </c>
      <c r="O325" s="407">
        <f t="shared" si="4"/>
        <v>21341405.16</v>
      </c>
      <c r="P325" s="1"/>
    </row>
    <row r="326" ht="12.75" customHeight="1">
      <c r="A326" s="1">
        <v>315.0</v>
      </c>
      <c r="B326" s="408">
        <f t="shared" si="5"/>
        <v>489357.75</v>
      </c>
      <c r="C326" s="408">
        <f t="shared" si="6"/>
        <v>48907.38682</v>
      </c>
      <c r="D326" s="408">
        <f t="shared" si="7"/>
        <v>440450.3631</v>
      </c>
      <c r="E326" s="176">
        <f t="shared" si="8"/>
        <v>20900954.79</v>
      </c>
      <c r="F326" s="408">
        <f t="shared" si="11"/>
        <v>55178879.64</v>
      </c>
      <c r="G326" s="408">
        <f t="shared" si="12"/>
        <v>154147691.2</v>
      </c>
      <c r="H326" s="410">
        <f>IF(K326&gt;='Pro Forma Detail'!D$66,'Pro Forma Detail'!D$67,'Debt ReFi'!$B$5)</f>
        <v>0.0275</v>
      </c>
      <c r="I326" s="1">
        <f t="shared" si="1"/>
        <v>315</v>
      </c>
      <c r="J326" s="406">
        <f t="shared" si="13"/>
        <v>55213</v>
      </c>
      <c r="K326" s="105">
        <f t="shared" si="9"/>
        <v>31</v>
      </c>
      <c r="L326" s="411">
        <f t="shared" si="10"/>
        <v>489357.75</v>
      </c>
      <c r="M326" s="407">
        <f t="shared" si="2"/>
        <v>440450.3631</v>
      </c>
      <c r="N326" s="407">
        <f t="shared" si="3"/>
        <v>48907.38682</v>
      </c>
      <c r="O326" s="407">
        <f t="shared" si="4"/>
        <v>20900954.79</v>
      </c>
      <c r="P326" s="1"/>
    </row>
    <row r="327" ht="12.75" customHeight="1">
      <c r="A327" s="1">
        <v>316.0</v>
      </c>
      <c r="B327" s="408">
        <f t="shared" si="5"/>
        <v>489357.75</v>
      </c>
      <c r="C327" s="408">
        <f t="shared" si="6"/>
        <v>47898.0214</v>
      </c>
      <c r="D327" s="408">
        <f t="shared" si="7"/>
        <v>441459.7286</v>
      </c>
      <c r="E327" s="176">
        <f t="shared" si="8"/>
        <v>20459495.06</v>
      </c>
      <c r="F327" s="408">
        <f t="shared" si="11"/>
        <v>55226777.66</v>
      </c>
      <c r="G327" s="408">
        <f t="shared" si="12"/>
        <v>154637049</v>
      </c>
      <c r="H327" s="410">
        <f>IF(K327&gt;='Pro Forma Detail'!D$66,'Pro Forma Detail'!D$67,'Debt ReFi'!$B$5)</f>
        <v>0.0275</v>
      </c>
      <c r="I327" s="1">
        <f t="shared" si="1"/>
        <v>316</v>
      </c>
      <c r="J327" s="406">
        <f t="shared" si="13"/>
        <v>55244</v>
      </c>
      <c r="K327" s="105">
        <f t="shared" si="9"/>
        <v>31</v>
      </c>
      <c r="L327" s="411">
        <f t="shared" si="10"/>
        <v>489357.75</v>
      </c>
      <c r="M327" s="407">
        <f t="shared" si="2"/>
        <v>441459.7286</v>
      </c>
      <c r="N327" s="407">
        <f t="shared" si="3"/>
        <v>47898.0214</v>
      </c>
      <c r="O327" s="407">
        <f t="shared" si="4"/>
        <v>20459495.06</v>
      </c>
      <c r="P327" s="1"/>
    </row>
    <row r="328" ht="12.75" customHeight="1">
      <c r="A328" s="1">
        <v>317.0</v>
      </c>
      <c r="B328" s="408">
        <f t="shared" si="5"/>
        <v>489357.75</v>
      </c>
      <c r="C328" s="408">
        <f t="shared" si="6"/>
        <v>46886.34286</v>
      </c>
      <c r="D328" s="408">
        <f t="shared" si="7"/>
        <v>442471.4071</v>
      </c>
      <c r="E328" s="176">
        <f t="shared" si="8"/>
        <v>20017023.66</v>
      </c>
      <c r="F328" s="408">
        <f t="shared" si="11"/>
        <v>55273664.01</v>
      </c>
      <c r="G328" s="408">
        <f t="shared" si="12"/>
        <v>155126406.7</v>
      </c>
      <c r="H328" s="410">
        <f>IF(K328&gt;='Pro Forma Detail'!D$66,'Pro Forma Detail'!D$67,'Debt ReFi'!$B$5)</f>
        <v>0.0275</v>
      </c>
      <c r="I328" s="1">
        <f t="shared" si="1"/>
        <v>317</v>
      </c>
      <c r="J328" s="406">
        <f t="shared" si="13"/>
        <v>55274</v>
      </c>
      <c r="K328" s="105">
        <f t="shared" si="9"/>
        <v>31</v>
      </c>
      <c r="L328" s="411">
        <f t="shared" si="10"/>
        <v>489357.75</v>
      </c>
      <c r="M328" s="407">
        <f t="shared" si="2"/>
        <v>442471.4071</v>
      </c>
      <c r="N328" s="407">
        <f t="shared" si="3"/>
        <v>46886.34286</v>
      </c>
      <c r="O328" s="407">
        <f t="shared" si="4"/>
        <v>20017023.66</v>
      </c>
      <c r="P328" s="1"/>
    </row>
    <row r="329" ht="12.75" customHeight="1">
      <c r="A329" s="1">
        <v>318.0</v>
      </c>
      <c r="B329" s="408">
        <f t="shared" si="5"/>
        <v>489357.75</v>
      </c>
      <c r="C329" s="408">
        <f t="shared" si="6"/>
        <v>45872.34588</v>
      </c>
      <c r="D329" s="408">
        <f t="shared" si="7"/>
        <v>443485.4041</v>
      </c>
      <c r="E329" s="176">
        <f t="shared" si="8"/>
        <v>19573538.25</v>
      </c>
      <c r="F329" s="408">
        <f t="shared" si="11"/>
        <v>55319536.35</v>
      </c>
      <c r="G329" s="408">
        <f t="shared" si="12"/>
        <v>155615764.5</v>
      </c>
      <c r="H329" s="410">
        <f>IF(K329&gt;='Pro Forma Detail'!D$66,'Pro Forma Detail'!D$67,'Debt ReFi'!$B$5)</f>
        <v>0.0275</v>
      </c>
      <c r="I329" s="1">
        <f t="shared" si="1"/>
        <v>318</v>
      </c>
      <c r="J329" s="406">
        <f t="shared" si="13"/>
        <v>55305</v>
      </c>
      <c r="K329" s="105">
        <f t="shared" si="9"/>
        <v>31</v>
      </c>
      <c r="L329" s="411">
        <f t="shared" si="10"/>
        <v>489357.75</v>
      </c>
      <c r="M329" s="407">
        <f t="shared" si="2"/>
        <v>443485.4041</v>
      </c>
      <c r="N329" s="407">
        <f t="shared" si="3"/>
        <v>45872.34588</v>
      </c>
      <c r="O329" s="407">
        <f t="shared" si="4"/>
        <v>19573538.25</v>
      </c>
      <c r="P329" s="1"/>
    </row>
    <row r="330" ht="12.75" customHeight="1">
      <c r="A330" s="1">
        <v>319.0</v>
      </c>
      <c r="B330" s="408">
        <f t="shared" si="5"/>
        <v>489357.75</v>
      </c>
      <c r="C330" s="408">
        <f t="shared" si="6"/>
        <v>44856.02516</v>
      </c>
      <c r="D330" s="408">
        <f t="shared" si="7"/>
        <v>444501.7248</v>
      </c>
      <c r="E330" s="176">
        <f t="shared" si="8"/>
        <v>19129036.53</v>
      </c>
      <c r="F330" s="408">
        <f t="shared" si="11"/>
        <v>55364392.38</v>
      </c>
      <c r="G330" s="408">
        <f t="shared" si="12"/>
        <v>156105122.2</v>
      </c>
      <c r="H330" s="410">
        <f>IF(K330&gt;='Pro Forma Detail'!D$66,'Pro Forma Detail'!D$67,'Debt ReFi'!$B$5)</f>
        <v>0.0275</v>
      </c>
      <c r="I330" s="1">
        <f t="shared" si="1"/>
        <v>319</v>
      </c>
      <c r="J330" s="406">
        <f t="shared" si="13"/>
        <v>55335</v>
      </c>
      <c r="K330" s="105">
        <f t="shared" si="9"/>
        <v>31</v>
      </c>
      <c r="L330" s="411">
        <f t="shared" si="10"/>
        <v>489357.75</v>
      </c>
      <c r="M330" s="407">
        <f t="shared" si="2"/>
        <v>444501.7248</v>
      </c>
      <c r="N330" s="407">
        <f t="shared" si="3"/>
        <v>44856.02516</v>
      </c>
      <c r="O330" s="407">
        <f t="shared" si="4"/>
        <v>19129036.53</v>
      </c>
      <c r="P330" s="1"/>
    </row>
    <row r="331" ht="12.75" customHeight="1">
      <c r="A331" s="1">
        <v>320.0</v>
      </c>
      <c r="B331" s="408">
        <f t="shared" si="5"/>
        <v>489357.75</v>
      </c>
      <c r="C331" s="408">
        <f t="shared" si="6"/>
        <v>43837.37538</v>
      </c>
      <c r="D331" s="408">
        <f t="shared" si="7"/>
        <v>445520.3746</v>
      </c>
      <c r="E331" s="176">
        <f t="shared" si="8"/>
        <v>18683516.15</v>
      </c>
      <c r="F331" s="408">
        <f t="shared" si="11"/>
        <v>55408229.75</v>
      </c>
      <c r="G331" s="408">
        <f t="shared" si="12"/>
        <v>156594480</v>
      </c>
      <c r="H331" s="410">
        <f>IF(K331&gt;='Pro Forma Detail'!D$66,'Pro Forma Detail'!D$67,'Debt ReFi'!$B$5)</f>
        <v>0.0275</v>
      </c>
      <c r="I331" s="1">
        <f t="shared" si="1"/>
        <v>320</v>
      </c>
      <c r="J331" s="406">
        <f t="shared" si="13"/>
        <v>55366</v>
      </c>
      <c r="K331" s="105">
        <f t="shared" si="9"/>
        <v>31</v>
      </c>
      <c r="L331" s="411">
        <f t="shared" si="10"/>
        <v>489357.75</v>
      </c>
      <c r="M331" s="407">
        <f t="shared" si="2"/>
        <v>445520.3746</v>
      </c>
      <c r="N331" s="407">
        <f t="shared" si="3"/>
        <v>43837.37538</v>
      </c>
      <c r="O331" s="407">
        <f t="shared" si="4"/>
        <v>18683516.15</v>
      </c>
      <c r="P331" s="1"/>
    </row>
    <row r="332" ht="12.75" customHeight="1">
      <c r="A332" s="1">
        <v>321.0</v>
      </c>
      <c r="B332" s="408">
        <f t="shared" si="5"/>
        <v>489357.75</v>
      </c>
      <c r="C332" s="408">
        <f t="shared" si="6"/>
        <v>42816.39119</v>
      </c>
      <c r="D332" s="408">
        <f t="shared" si="7"/>
        <v>446541.3588</v>
      </c>
      <c r="E332" s="176">
        <f t="shared" si="8"/>
        <v>18236974.79</v>
      </c>
      <c r="F332" s="408">
        <f t="shared" si="11"/>
        <v>55451046.14</v>
      </c>
      <c r="G332" s="408">
        <f t="shared" si="12"/>
        <v>157083837.7</v>
      </c>
      <c r="H332" s="410">
        <f>IF(K332&gt;='Pro Forma Detail'!D$66,'Pro Forma Detail'!D$67,'Debt ReFi'!$B$5)</f>
        <v>0.0275</v>
      </c>
      <c r="I332" s="1">
        <f t="shared" si="1"/>
        <v>321</v>
      </c>
      <c r="J332" s="406">
        <f t="shared" si="13"/>
        <v>55397</v>
      </c>
      <c r="K332" s="105">
        <f t="shared" si="9"/>
        <v>31</v>
      </c>
      <c r="L332" s="411">
        <f t="shared" si="10"/>
        <v>489357.75</v>
      </c>
      <c r="M332" s="407">
        <f t="shared" si="2"/>
        <v>446541.3588</v>
      </c>
      <c r="N332" s="407">
        <f t="shared" si="3"/>
        <v>42816.39119</v>
      </c>
      <c r="O332" s="407">
        <f t="shared" si="4"/>
        <v>18236974.79</v>
      </c>
      <c r="P332" s="1"/>
    </row>
    <row r="333" ht="12.75" customHeight="1">
      <c r="A333" s="1">
        <v>322.0</v>
      </c>
      <c r="B333" s="408">
        <f t="shared" si="5"/>
        <v>489357.75</v>
      </c>
      <c r="C333" s="408">
        <f t="shared" si="6"/>
        <v>41793.06724</v>
      </c>
      <c r="D333" s="408">
        <f t="shared" si="7"/>
        <v>447564.6827</v>
      </c>
      <c r="E333" s="176">
        <f t="shared" si="8"/>
        <v>17789410.11</v>
      </c>
      <c r="F333" s="408">
        <f t="shared" si="11"/>
        <v>55492839.21</v>
      </c>
      <c r="G333" s="408">
        <f t="shared" si="12"/>
        <v>157573195.5</v>
      </c>
      <c r="H333" s="410">
        <f>IF(K333&gt;='Pro Forma Detail'!D$66,'Pro Forma Detail'!D$67,'Debt ReFi'!$B$5)</f>
        <v>0.0275</v>
      </c>
      <c r="I333" s="1">
        <f t="shared" si="1"/>
        <v>322</v>
      </c>
      <c r="J333" s="406">
        <f t="shared" si="13"/>
        <v>55427</v>
      </c>
      <c r="K333" s="105">
        <f t="shared" si="9"/>
        <v>31</v>
      </c>
      <c r="L333" s="411">
        <f t="shared" si="10"/>
        <v>489357.75</v>
      </c>
      <c r="M333" s="407">
        <f t="shared" si="2"/>
        <v>447564.6827</v>
      </c>
      <c r="N333" s="407">
        <f t="shared" si="3"/>
        <v>41793.06724</v>
      </c>
      <c r="O333" s="407">
        <f t="shared" si="4"/>
        <v>17789410.11</v>
      </c>
      <c r="P333" s="1"/>
    </row>
    <row r="334" ht="12.75" customHeight="1">
      <c r="A334" s="1">
        <v>323.0</v>
      </c>
      <c r="B334" s="408">
        <f t="shared" si="5"/>
        <v>489357.75</v>
      </c>
      <c r="C334" s="408">
        <f t="shared" si="6"/>
        <v>40767.39817</v>
      </c>
      <c r="D334" s="408">
        <f t="shared" si="7"/>
        <v>448590.3518</v>
      </c>
      <c r="E334" s="176">
        <f t="shared" si="8"/>
        <v>17340819.76</v>
      </c>
      <c r="F334" s="408">
        <f t="shared" si="11"/>
        <v>55533606.61</v>
      </c>
      <c r="G334" s="408">
        <f t="shared" si="12"/>
        <v>158062553.2</v>
      </c>
      <c r="H334" s="410">
        <f>IF(K334&gt;='Pro Forma Detail'!D$66,'Pro Forma Detail'!D$67,'Debt ReFi'!$B$5)</f>
        <v>0.0275</v>
      </c>
      <c r="I334" s="1">
        <f t="shared" si="1"/>
        <v>323</v>
      </c>
      <c r="J334" s="406">
        <f t="shared" si="13"/>
        <v>55458</v>
      </c>
      <c r="K334" s="105">
        <f t="shared" si="9"/>
        <v>31</v>
      </c>
      <c r="L334" s="411">
        <f t="shared" si="10"/>
        <v>489357.75</v>
      </c>
      <c r="M334" s="407">
        <f t="shared" si="2"/>
        <v>448590.3518</v>
      </c>
      <c r="N334" s="407">
        <f t="shared" si="3"/>
        <v>40767.39817</v>
      </c>
      <c r="O334" s="407">
        <f t="shared" si="4"/>
        <v>17340819.76</v>
      </c>
      <c r="P334" s="1"/>
    </row>
    <row r="335" ht="12.75" customHeight="1">
      <c r="A335" s="1">
        <v>324.0</v>
      </c>
      <c r="B335" s="408">
        <f t="shared" si="5"/>
        <v>489357.75</v>
      </c>
      <c r="C335" s="408">
        <f t="shared" si="6"/>
        <v>39739.37862</v>
      </c>
      <c r="D335" s="408">
        <f t="shared" si="7"/>
        <v>449618.3713</v>
      </c>
      <c r="E335" s="176">
        <f t="shared" si="8"/>
        <v>16891201.39</v>
      </c>
      <c r="F335" s="408">
        <f t="shared" si="11"/>
        <v>55573345.99</v>
      </c>
      <c r="G335" s="408">
        <f t="shared" si="12"/>
        <v>158551911</v>
      </c>
      <c r="H335" s="410">
        <f>IF(K335&gt;='Pro Forma Detail'!D$66,'Pro Forma Detail'!D$67,'Debt ReFi'!$B$5)</f>
        <v>0.0275</v>
      </c>
      <c r="I335" s="1">
        <f t="shared" si="1"/>
        <v>324</v>
      </c>
      <c r="J335" s="406">
        <f t="shared" si="13"/>
        <v>55488</v>
      </c>
      <c r="K335" s="105">
        <f t="shared" si="9"/>
        <v>31</v>
      </c>
      <c r="L335" s="411">
        <f t="shared" si="10"/>
        <v>489357.75</v>
      </c>
      <c r="M335" s="407">
        <f t="shared" si="2"/>
        <v>449618.3713</v>
      </c>
      <c r="N335" s="407">
        <f t="shared" si="3"/>
        <v>39739.37862</v>
      </c>
      <c r="O335" s="407">
        <f t="shared" si="4"/>
        <v>16891201.39</v>
      </c>
      <c r="P335" s="1"/>
    </row>
    <row r="336" ht="12.75" customHeight="1">
      <c r="A336" s="1">
        <v>325.0</v>
      </c>
      <c r="B336" s="408">
        <f t="shared" si="5"/>
        <v>489357.75</v>
      </c>
      <c r="C336" s="408">
        <f t="shared" si="6"/>
        <v>38709.00318</v>
      </c>
      <c r="D336" s="408">
        <f t="shared" si="7"/>
        <v>450648.7468</v>
      </c>
      <c r="E336" s="176">
        <f t="shared" si="8"/>
        <v>16440552.64</v>
      </c>
      <c r="F336" s="408">
        <f t="shared" si="11"/>
        <v>55612054.99</v>
      </c>
      <c r="G336" s="408">
        <f t="shared" si="12"/>
        <v>159041268.7</v>
      </c>
      <c r="H336" s="410">
        <f>IF(K336&gt;='Pro Forma Detail'!D$66,'Pro Forma Detail'!D$67,'Debt ReFi'!$B$5)</f>
        <v>0.0275</v>
      </c>
      <c r="I336" s="1">
        <f t="shared" si="1"/>
        <v>325</v>
      </c>
      <c r="J336" s="406">
        <f t="shared" si="13"/>
        <v>55519</v>
      </c>
      <c r="K336" s="105">
        <f t="shared" si="9"/>
        <v>32</v>
      </c>
      <c r="L336" s="411">
        <f t="shared" si="10"/>
        <v>489357.75</v>
      </c>
      <c r="M336" s="407">
        <f t="shared" si="2"/>
        <v>450648.7468</v>
      </c>
      <c r="N336" s="407">
        <f t="shared" si="3"/>
        <v>38709.00318</v>
      </c>
      <c r="O336" s="407">
        <f t="shared" si="4"/>
        <v>16440552.64</v>
      </c>
      <c r="P336" s="1"/>
    </row>
    <row r="337" ht="12.75" customHeight="1">
      <c r="A337" s="1">
        <v>326.0</v>
      </c>
      <c r="B337" s="408">
        <f t="shared" si="5"/>
        <v>489357.75</v>
      </c>
      <c r="C337" s="408">
        <f t="shared" si="6"/>
        <v>37676.26647</v>
      </c>
      <c r="D337" s="408">
        <f t="shared" si="7"/>
        <v>451681.4835</v>
      </c>
      <c r="E337" s="176">
        <f t="shared" si="8"/>
        <v>15988871.16</v>
      </c>
      <c r="F337" s="408">
        <f t="shared" si="11"/>
        <v>55649731.26</v>
      </c>
      <c r="G337" s="408">
        <f t="shared" si="12"/>
        <v>159530626.5</v>
      </c>
      <c r="H337" s="410">
        <f>IF(K337&gt;='Pro Forma Detail'!D$66,'Pro Forma Detail'!D$67,'Debt ReFi'!$B$5)</f>
        <v>0.0275</v>
      </c>
      <c r="I337" s="1">
        <f t="shared" si="1"/>
        <v>326</v>
      </c>
      <c r="J337" s="406">
        <f t="shared" si="13"/>
        <v>55550</v>
      </c>
      <c r="K337" s="105">
        <f t="shared" si="9"/>
        <v>32</v>
      </c>
      <c r="L337" s="411">
        <f t="shared" si="10"/>
        <v>489357.75</v>
      </c>
      <c r="M337" s="407">
        <f t="shared" si="2"/>
        <v>451681.4835</v>
      </c>
      <c r="N337" s="407">
        <f t="shared" si="3"/>
        <v>37676.26647</v>
      </c>
      <c r="O337" s="407">
        <f t="shared" si="4"/>
        <v>15988871.16</v>
      </c>
      <c r="P337" s="1"/>
    </row>
    <row r="338" ht="12.75" customHeight="1">
      <c r="A338" s="1">
        <v>327.0</v>
      </c>
      <c r="B338" s="408">
        <f t="shared" si="5"/>
        <v>489357.75</v>
      </c>
      <c r="C338" s="408">
        <f t="shared" si="6"/>
        <v>36641.16307</v>
      </c>
      <c r="D338" s="408">
        <f t="shared" si="7"/>
        <v>452716.5869</v>
      </c>
      <c r="E338" s="176">
        <f t="shared" si="8"/>
        <v>15536154.57</v>
      </c>
      <c r="F338" s="408">
        <f t="shared" si="11"/>
        <v>55686372.42</v>
      </c>
      <c r="G338" s="408">
        <f t="shared" si="12"/>
        <v>160019984.2</v>
      </c>
      <c r="H338" s="410">
        <f>IF(K338&gt;='Pro Forma Detail'!D$66,'Pro Forma Detail'!D$67,'Debt ReFi'!$B$5)</f>
        <v>0.0275</v>
      </c>
      <c r="I338" s="1">
        <f t="shared" si="1"/>
        <v>327</v>
      </c>
      <c r="J338" s="406">
        <f t="shared" si="13"/>
        <v>55579</v>
      </c>
      <c r="K338" s="105">
        <f t="shared" si="9"/>
        <v>32</v>
      </c>
      <c r="L338" s="411">
        <f t="shared" si="10"/>
        <v>489357.75</v>
      </c>
      <c r="M338" s="407">
        <f t="shared" si="2"/>
        <v>452716.5869</v>
      </c>
      <c r="N338" s="407">
        <f t="shared" si="3"/>
        <v>36641.16307</v>
      </c>
      <c r="O338" s="407">
        <f t="shared" si="4"/>
        <v>15536154.57</v>
      </c>
      <c r="P338" s="1"/>
    </row>
    <row r="339" ht="12.75" customHeight="1">
      <c r="A339" s="1">
        <v>328.0</v>
      </c>
      <c r="B339" s="408">
        <f t="shared" si="5"/>
        <v>489357.75</v>
      </c>
      <c r="C339" s="408">
        <f t="shared" si="6"/>
        <v>35603.68756</v>
      </c>
      <c r="D339" s="408">
        <f t="shared" si="7"/>
        <v>453754.0624</v>
      </c>
      <c r="E339" s="176">
        <f t="shared" si="8"/>
        <v>15082400.51</v>
      </c>
      <c r="F339" s="408">
        <f t="shared" si="11"/>
        <v>55721976.11</v>
      </c>
      <c r="G339" s="408">
        <f t="shared" si="12"/>
        <v>160509342</v>
      </c>
      <c r="H339" s="410">
        <f>IF(K339&gt;='Pro Forma Detail'!D$66,'Pro Forma Detail'!D$67,'Debt ReFi'!$B$5)</f>
        <v>0.0275</v>
      </c>
      <c r="I339" s="1">
        <f t="shared" si="1"/>
        <v>328</v>
      </c>
      <c r="J339" s="406">
        <f t="shared" si="13"/>
        <v>55610</v>
      </c>
      <c r="K339" s="105">
        <f t="shared" si="9"/>
        <v>32</v>
      </c>
      <c r="L339" s="411">
        <f t="shared" si="10"/>
        <v>489357.75</v>
      </c>
      <c r="M339" s="407">
        <f t="shared" si="2"/>
        <v>453754.0624</v>
      </c>
      <c r="N339" s="407">
        <f t="shared" si="3"/>
        <v>35603.68756</v>
      </c>
      <c r="O339" s="407">
        <f t="shared" si="4"/>
        <v>15082400.51</v>
      </c>
      <c r="P339" s="1"/>
    </row>
    <row r="340" ht="12.75" customHeight="1">
      <c r="A340" s="1">
        <v>329.0</v>
      </c>
      <c r="B340" s="408">
        <f t="shared" si="5"/>
        <v>489357.75</v>
      </c>
      <c r="C340" s="408">
        <f t="shared" si="6"/>
        <v>34563.8345</v>
      </c>
      <c r="D340" s="408">
        <f t="shared" si="7"/>
        <v>454793.9155</v>
      </c>
      <c r="E340" s="176">
        <f t="shared" si="8"/>
        <v>14627606.59</v>
      </c>
      <c r="F340" s="408">
        <f t="shared" si="11"/>
        <v>55756539.94</v>
      </c>
      <c r="G340" s="408">
        <f t="shared" si="12"/>
        <v>160998699.7</v>
      </c>
      <c r="H340" s="410">
        <f>IF(K340&gt;='Pro Forma Detail'!D$66,'Pro Forma Detail'!D$67,'Debt ReFi'!$B$5)</f>
        <v>0.0275</v>
      </c>
      <c r="I340" s="1">
        <f t="shared" si="1"/>
        <v>329</v>
      </c>
      <c r="J340" s="406">
        <f t="shared" si="13"/>
        <v>55640</v>
      </c>
      <c r="K340" s="105">
        <f t="shared" si="9"/>
        <v>32</v>
      </c>
      <c r="L340" s="411">
        <f t="shared" si="10"/>
        <v>489357.75</v>
      </c>
      <c r="M340" s="407">
        <f t="shared" si="2"/>
        <v>454793.9155</v>
      </c>
      <c r="N340" s="407">
        <f t="shared" si="3"/>
        <v>34563.8345</v>
      </c>
      <c r="O340" s="407">
        <f t="shared" si="4"/>
        <v>14627606.59</v>
      </c>
      <c r="P340" s="1"/>
    </row>
    <row r="341" ht="12.75" customHeight="1">
      <c r="A341" s="1">
        <v>330.0</v>
      </c>
      <c r="B341" s="408">
        <f t="shared" si="5"/>
        <v>489357.75</v>
      </c>
      <c r="C341" s="408">
        <f t="shared" si="6"/>
        <v>33521.59844</v>
      </c>
      <c r="D341" s="408">
        <f t="shared" si="7"/>
        <v>455836.1515</v>
      </c>
      <c r="E341" s="176">
        <f t="shared" si="8"/>
        <v>14171770.44</v>
      </c>
      <c r="F341" s="408">
        <f t="shared" si="11"/>
        <v>55790061.54</v>
      </c>
      <c r="G341" s="408">
        <f t="shared" si="12"/>
        <v>161488057.5</v>
      </c>
      <c r="H341" s="410">
        <f>IF(K341&gt;='Pro Forma Detail'!D$66,'Pro Forma Detail'!D$67,'Debt ReFi'!$B$5)</f>
        <v>0.0275</v>
      </c>
      <c r="I341" s="1">
        <f t="shared" si="1"/>
        <v>330</v>
      </c>
      <c r="J341" s="406">
        <f t="shared" si="13"/>
        <v>55671</v>
      </c>
      <c r="K341" s="105">
        <f t="shared" si="9"/>
        <v>32</v>
      </c>
      <c r="L341" s="411">
        <f t="shared" si="10"/>
        <v>489357.75</v>
      </c>
      <c r="M341" s="407">
        <f t="shared" si="2"/>
        <v>455836.1515</v>
      </c>
      <c r="N341" s="407">
        <f t="shared" si="3"/>
        <v>33521.59844</v>
      </c>
      <c r="O341" s="407">
        <f t="shared" si="4"/>
        <v>14171770.44</v>
      </c>
      <c r="P341" s="1"/>
    </row>
    <row r="342" ht="12.75" customHeight="1">
      <c r="A342" s="1">
        <v>331.0</v>
      </c>
      <c r="B342" s="408">
        <f t="shared" si="5"/>
        <v>489357.75</v>
      </c>
      <c r="C342" s="408">
        <f t="shared" si="6"/>
        <v>32476.97393</v>
      </c>
      <c r="D342" s="408">
        <f t="shared" si="7"/>
        <v>456880.776</v>
      </c>
      <c r="E342" s="176">
        <f t="shared" si="8"/>
        <v>13714889.67</v>
      </c>
      <c r="F342" s="408">
        <f t="shared" si="11"/>
        <v>55822538.52</v>
      </c>
      <c r="G342" s="408">
        <f t="shared" si="12"/>
        <v>161977415.2</v>
      </c>
      <c r="H342" s="410">
        <f>IF(K342&gt;='Pro Forma Detail'!D$66,'Pro Forma Detail'!D$67,'Debt ReFi'!$B$5)</f>
        <v>0.0275</v>
      </c>
      <c r="I342" s="1">
        <f t="shared" si="1"/>
        <v>331</v>
      </c>
      <c r="J342" s="406">
        <f t="shared" si="13"/>
        <v>55701</v>
      </c>
      <c r="K342" s="105">
        <f t="shared" si="9"/>
        <v>32</v>
      </c>
      <c r="L342" s="411">
        <f t="shared" si="10"/>
        <v>489357.75</v>
      </c>
      <c r="M342" s="407">
        <f t="shared" si="2"/>
        <v>456880.776</v>
      </c>
      <c r="N342" s="407">
        <f t="shared" si="3"/>
        <v>32476.97393</v>
      </c>
      <c r="O342" s="407">
        <f t="shared" si="4"/>
        <v>13714889.67</v>
      </c>
      <c r="P342" s="1"/>
    </row>
    <row r="343" ht="12.75" customHeight="1">
      <c r="A343" s="1">
        <v>332.0</v>
      </c>
      <c r="B343" s="408">
        <f t="shared" si="5"/>
        <v>489357.75</v>
      </c>
      <c r="C343" s="408">
        <f t="shared" si="6"/>
        <v>31429.95549</v>
      </c>
      <c r="D343" s="408">
        <f t="shared" si="7"/>
        <v>457927.7945</v>
      </c>
      <c r="E343" s="176">
        <f t="shared" si="8"/>
        <v>13256961.87</v>
      </c>
      <c r="F343" s="408">
        <f t="shared" si="11"/>
        <v>55853968.47</v>
      </c>
      <c r="G343" s="408">
        <f t="shared" si="12"/>
        <v>162466773</v>
      </c>
      <c r="H343" s="410">
        <f>IF(K343&gt;='Pro Forma Detail'!D$66,'Pro Forma Detail'!D$67,'Debt ReFi'!$B$5)</f>
        <v>0.0275</v>
      </c>
      <c r="I343" s="1">
        <f t="shared" si="1"/>
        <v>332</v>
      </c>
      <c r="J343" s="406">
        <f t="shared" si="13"/>
        <v>55732</v>
      </c>
      <c r="K343" s="105">
        <f t="shared" si="9"/>
        <v>32</v>
      </c>
      <c r="L343" s="411">
        <f t="shared" si="10"/>
        <v>489357.75</v>
      </c>
      <c r="M343" s="407">
        <f t="shared" si="2"/>
        <v>457927.7945</v>
      </c>
      <c r="N343" s="407">
        <f t="shared" si="3"/>
        <v>31429.95549</v>
      </c>
      <c r="O343" s="407">
        <f t="shared" si="4"/>
        <v>13256961.87</v>
      </c>
      <c r="P343" s="1"/>
    </row>
    <row r="344" ht="12.75" customHeight="1">
      <c r="A344" s="1">
        <v>333.0</v>
      </c>
      <c r="B344" s="408">
        <f t="shared" si="5"/>
        <v>489357.75</v>
      </c>
      <c r="C344" s="408">
        <f t="shared" si="6"/>
        <v>30380.53762</v>
      </c>
      <c r="D344" s="408">
        <f t="shared" si="7"/>
        <v>458977.2123</v>
      </c>
      <c r="E344" s="176">
        <f t="shared" si="8"/>
        <v>12797984.66</v>
      </c>
      <c r="F344" s="408">
        <f t="shared" si="11"/>
        <v>55884349.01</v>
      </c>
      <c r="G344" s="408">
        <f t="shared" si="12"/>
        <v>162956130.7</v>
      </c>
      <c r="H344" s="410">
        <f>IF(K344&gt;='Pro Forma Detail'!D$66,'Pro Forma Detail'!D$67,'Debt ReFi'!$B$5)</f>
        <v>0.0275</v>
      </c>
      <c r="I344" s="1">
        <f t="shared" si="1"/>
        <v>333</v>
      </c>
      <c r="J344" s="406">
        <f t="shared" si="13"/>
        <v>55763</v>
      </c>
      <c r="K344" s="105">
        <f t="shared" si="9"/>
        <v>32</v>
      </c>
      <c r="L344" s="411">
        <f t="shared" si="10"/>
        <v>489357.75</v>
      </c>
      <c r="M344" s="407">
        <f t="shared" si="2"/>
        <v>458977.2123</v>
      </c>
      <c r="N344" s="407">
        <f t="shared" si="3"/>
        <v>30380.53762</v>
      </c>
      <c r="O344" s="407">
        <f t="shared" si="4"/>
        <v>12797984.66</v>
      </c>
      <c r="P344" s="1"/>
    </row>
    <row r="345" ht="12.75" customHeight="1">
      <c r="A345" s="1">
        <v>334.0</v>
      </c>
      <c r="B345" s="408">
        <f t="shared" si="5"/>
        <v>489357.75</v>
      </c>
      <c r="C345" s="408">
        <f t="shared" si="6"/>
        <v>29328.71484</v>
      </c>
      <c r="D345" s="408">
        <f t="shared" si="7"/>
        <v>460029.0351</v>
      </c>
      <c r="E345" s="176">
        <f t="shared" si="8"/>
        <v>12337955.62</v>
      </c>
      <c r="F345" s="408">
        <f t="shared" si="11"/>
        <v>55913677.72</v>
      </c>
      <c r="G345" s="408">
        <f t="shared" si="12"/>
        <v>163445488.5</v>
      </c>
      <c r="H345" s="410">
        <f>IF(K345&gt;='Pro Forma Detail'!D$66,'Pro Forma Detail'!D$67,'Debt ReFi'!$B$5)</f>
        <v>0.0275</v>
      </c>
      <c r="I345" s="1">
        <f t="shared" si="1"/>
        <v>334</v>
      </c>
      <c r="J345" s="406">
        <f t="shared" si="13"/>
        <v>55793</v>
      </c>
      <c r="K345" s="105">
        <f t="shared" si="9"/>
        <v>32</v>
      </c>
      <c r="L345" s="411">
        <f t="shared" si="10"/>
        <v>489357.75</v>
      </c>
      <c r="M345" s="407">
        <f t="shared" si="2"/>
        <v>460029.0351</v>
      </c>
      <c r="N345" s="407">
        <f t="shared" si="3"/>
        <v>29328.71484</v>
      </c>
      <c r="O345" s="407">
        <f t="shared" si="4"/>
        <v>12337955.62</v>
      </c>
      <c r="P345" s="1"/>
    </row>
    <row r="346" ht="12.75" customHeight="1">
      <c r="A346" s="1">
        <v>335.0</v>
      </c>
      <c r="B346" s="408">
        <f t="shared" si="5"/>
        <v>489357.75</v>
      </c>
      <c r="C346" s="408">
        <f t="shared" si="6"/>
        <v>28274.48164</v>
      </c>
      <c r="D346" s="408">
        <f t="shared" si="7"/>
        <v>461083.2683</v>
      </c>
      <c r="E346" s="176">
        <f t="shared" si="8"/>
        <v>11876872.36</v>
      </c>
      <c r="F346" s="408">
        <f t="shared" si="11"/>
        <v>55941952.21</v>
      </c>
      <c r="G346" s="408">
        <f t="shared" si="12"/>
        <v>163934846.2</v>
      </c>
      <c r="H346" s="410">
        <f>IF(K346&gt;='Pro Forma Detail'!D$66,'Pro Forma Detail'!D$67,'Debt ReFi'!$B$5)</f>
        <v>0.0275</v>
      </c>
      <c r="I346" s="1">
        <f t="shared" si="1"/>
        <v>335</v>
      </c>
      <c r="J346" s="406">
        <f t="shared" si="13"/>
        <v>55824</v>
      </c>
      <c r="K346" s="105">
        <f t="shared" si="9"/>
        <v>32</v>
      </c>
      <c r="L346" s="411">
        <f t="shared" si="10"/>
        <v>489357.75</v>
      </c>
      <c r="M346" s="407">
        <f t="shared" si="2"/>
        <v>461083.2683</v>
      </c>
      <c r="N346" s="407">
        <f t="shared" si="3"/>
        <v>28274.48164</v>
      </c>
      <c r="O346" s="407">
        <f t="shared" si="4"/>
        <v>11876872.36</v>
      </c>
      <c r="P346" s="1"/>
    </row>
    <row r="347" ht="12.75" customHeight="1">
      <c r="A347" s="1">
        <v>336.0</v>
      </c>
      <c r="B347" s="408">
        <f t="shared" si="5"/>
        <v>489357.75</v>
      </c>
      <c r="C347" s="408">
        <f t="shared" si="6"/>
        <v>27217.83248</v>
      </c>
      <c r="D347" s="408">
        <f t="shared" si="7"/>
        <v>462139.9175</v>
      </c>
      <c r="E347" s="176">
        <f t="shared" si="8"/>
        <v>11414732.44</v>
      </c>
      <c r="F347" s="408">
        <f t="shared" si="11"/>
        <v>55969170.04</v>
      </c>
      <c r="G347" s="408">
        <f t="shared" si="12"/>
        <v>164424204</v>
      </c>
      <c r="H347" s="410">
        <f>IF(K347&gt;='Pro Forma Detail'!D$66,'Pro Forma Detail'!D$67,'Debt ReFi'!$B$5)</f>
        <v>0.0275</v>
      </c>
      <c r="I347" s="1">
        <f t="shared" si="1"/>
        <v>336</v>
      </c>
      <c r="J347" s="406">
        <f t="shared" si="13"/>
        <v>55854</v>
      </c>
      <c r="K347" s="105">
        <f t="shared" si="9"/>
        <v>32</v>
      </c>
      <c r="L347" s="411">
        <f t="shared" si="10"/>
        <v>489357.75</v>
      </c>
      <c r="M347" s="407">
        <f t="shared" si="2"/>
        <v>462139.9175</v>
      </c>
      <c r="N347" s="407">
        <f t="shared" si="3"/>
        <v>27217.83248</v>
      </c>
      <c r="O347" s="407">
        <f t="shared" si="4"/>
        <v>11414732.44</v>
      </c>
      <c r="P347" s="1"/>
    </row>
    <row r="348" ht="12.75" customHeight="1">
      <c r="A348" s="1">
        <v>337.0</v>
      </c>
      <c r="B348" s="408">
        <f t="shared" si="5"/>
        <v>489357.75</v>
      </c>
      <c r="C348" s="408">
        <f t="shared" si="6"/>
        <v>26158.76184</v>
      </c>
      <c r="D348" s="408">
        <f t="shared" si="7"/>
        <v>463198.9881</v>
      </c>
      <c r="E348" s="176">
        <f t="shared" si="8"/>
        <v>10951533.45</v>
      </c>
      <c r="F348" s="408">
        <f t="shared" si="11"/>
        <v>55995328.8</v>
      </c>
      <c r="G348" s="408">
        <f t="shared" si="12"/>
        <v>164913561.7</v>
      </c>
      <c r="H348" s="410">
        <f>IF(K348&gt;='Pro Forma Detail'!D$66,'Pro Forma Detail'!D$67,'Debt ReFi'!$B$5)</f>
        <v>0.0275</v>
      </c>
      <c r="I348" s="1">
        <f t="shared" si="1"/>
        <v>337</v>
      </c>
      <c r="J348" s="406">
        <f t="shared" si="13"/>
        <v>55885</v>
      </c>
      <c r="K348" s="105">
        <f t="shared" si="9"/>
        <v>33</v>
      </c>
      <c r="L348" s="411">
        <f t="shared" si="10"/>
        <v>489357.75</v>
      </c>
      <c r="M348" s="407">
        <f t="shared" si="2"/>
        <v>463198.9881</v>
      </c>
      <c r="N348" s="407">
        <f t="shared" si="3"/>
        <v>26158.76184</v>
      </c>
      <c r="O348" s="407">
        <f t="shared" si="4"/>
        <v>10951533.45</v>
      </c>
      <c r="P348" s="1"/>
    </row>
    <row r="349" ht="12.75" customHeight="1">
      <c r="A349" s="1">
        <v>338.0</v>
      </c>
      <c r="B349" s="408">
        <f t="shared" si="5"/>
        <v>489357.75</v>
      </c>
      <c r="C349" s="408">
        <f t="shared" si="6"/>
        <v>25097.26416</v>
      </c>
      <c r="D349" s="408">
        <f t="shared" si="7"/>
        <v>464260.4858</v>
      </c>
      <c r="E349" s="176">
        <f t="shared" si="8"/>
        <v>10487272.96</v>
      </c>
      <c r="F349" s="408">
        <f t="shared" si="11"/>
        <v>56020426.06</v>
      </c>
      <c r="G349" s="408">
        <f t="shared" si="12"/>
        <v>165402919.5</v>
      </c>
      <c r="H349" s="410">
        <f>IF(K349&gt;='Pro Forma Detail'!D$66,'Pro Forma Detail'!D$67,'Debt ReFi'!$B$5)</f>
        <v>0.0275</v>
      </c>
      <c r="I349" s="1">
        <f t="shared" si="1"/>
        <v>338</v>
      </c>
      <c r="J349" s="406">
        <f t="shared" si="13"/>
        <v>55916</v>
      </c>
      <c r="K349" s="105">
        <f t="shared" si="9"/>
        <v>33</v>
      </c>
      <c r="L349" s="411">
        <f t="shared" si="10"/>
        <v>489357.75</v>
      </c>
      <c r="M349" s="407">
        <f t="shared" si="2"/>
        <v>464260.4858</v>
      </c>
      <c r="N349" s="407">
        <f t="shared" si="3"/>
        <v>25097.26416</v>
      </c>
      <c r="O349" s="407">
        <f t="shared" si="4"/>
        <v>10487272.96</v>
      </c>
      <c r="P349" s="1"/>
    </row>
    <row r="350" ht="12.75" customHeight="1">
      <c r="A350" s="1">
        <v>339.0</v>
      </c>
      <c r="B350" s="408">
        <f t="shared" si="5"/>
        <v>489357.75</v>
      </c>
      <c r="C350" s="408">
        <f t="shared" si="6"/>
        <v>24033.33388</v>
      </c>
      <c r="D350" s="408">
        <f t="shared" si="7"/>
        <v>465324.4161</v>
      </c>
      <c r="E350" s="176">
        <f t="shared" si="8"/>
        <v>10021948.55</v>
      </c>
      <c r="F350" s="408">
        <f t="shared" si="11"/>
        <v>56044459.4</v>
      </c>
      <c r="G350" s="408">
        <f t="shared" si="12"/>
        <v>165892277.2</v>
      </c>
      <c r="H350" s="410">
        <f>IF(K350&gt;='Pro Forma Detail'!D$66,'Pro Forma Detail'!D$67,'Debt ReFi'!$B$5)</f>
        <v>0.0275</v>
      </c>
      <c r="I350" s="1">
        <f t="shared" si="1"/>
        <v>339</v>
      </c>
      <c r="J350" s="406">
        <f t="shared" si="13"/>
        <v>55944</v>
      </c>
      <c r="K350" s="105">
        <f t="shared" si="9"/>
        <v>33</v>
      </c>
      <c r="L350" s="411">
        <f t="shared" si="10"/>
        <v>489357.75</v>
      </c>
      <c r="M350" s="407">
        <f t="shared" si="2"/>
        <v>465324.4161</v>
      </c>
      <c r="N350" s="407">
        <f t="shared" si="3"/>
        <v>24033.33388</v>
      </c>
      <c r="O350" s="407">
        <f t="shared" si="4"/>
        <v>10021948.55</v>
      </c>
      <c r="P350" s="1"/>
    </row>
    <row r="351" ht="12.75" customHeight="1">
      <c r="A351" s="1">
        <v>340.0</v>
      </c>
      <c r="B351" s="408">
        <f t="shared" si="5"/>
        <v>489357.75</v>
      </c>
      <c r="C351" s="408">
        <f t="shared" si="6"/>
        <v>22966.96542</v>
      </c>
      <c r="D351" s="408">
        <f t="shared" si="7"/>
        <v>466390.7845</v>
      </c>
      <c r="E351" s="176">
        <f t="shared" si="8"/>
        <v>9555557.764</v>
      </c>
      <c r="F351" s="408">
        <f t="shared" si="11"/>
        <v>56067426.36</v>
      </c>
      <c r="G351" s="408">
        <f t="shared" si="12"/>
        <v>166381635</v>
      </c>
      <c r="H351" s="410">
        <f>IF(K351&gt;='Pro Forma Detail'!D$66,'Pro Forma Detail'!D$67,'Debt ReFi'!$B$5)</f>
        <v>0.0275</v>
      </c>
      <c r="I351" s="1">
        <f t="shared" si="1"/>
        <v>340</v>
      </c>
      <c r="J351" s="406">
        <f t="shared" si="13"/>
        <v>55975</v>
      </c>
      <c r="K351" s="105">
        <f t="shared" si="9"/>
        <v>33</v>
      </c>
      <c r="L351" s="411">
        <f t="shared" si="10"/>
        <v>489357.75</v>
      </c>
      <c r="M351" s="407">
        <f t="shared" si="2"/>
        <v>466390.7845</v>
      </c>
      <c r="N351" s="407">
        <f t="shared" si="3"/>
        <v>22966.96542</v>
      </c>
      <c r="O351" s="407">
        <f t="shared" si="4"/>
        <v>9555557.764</v>
      </c>
      <c r="P351" s="1"/>
    </row>
    <row r="352" ht="12.75" customHeight="1">
      <c r="A352" s="1">
        <v>341.0</v>
      </c>
      <c r="B352" s="408">
        <f t="shared" si="5"/>
        <v>489357.75</v>
      </c>
      <c r="C352" s="408">
        <f t="shared" si="6"/>
        <v>21898.15321</v>
      </c>
      <c r="D352" s="408">
        <f t="shared" si="7"/>
        <v>467459.5967</v>
      </c>
      <c r="E352" s="176">
        <f t="shared" si="8"/>
        <v>9088098.167</v>
      </c>
      <c r="F352" s="408">
        <f t="shared" si="11"/>
        <v>56089324.52</v>
      </c>
      <c r="G352" s="408">
        <f t="shared" si="12"/>
        <v>166870992.7</v>
      </c>
      <c r="H352" s="410">
        <f>IF(K352&gt;='Pro Forma Detail'!D$66,'Pro Forma Detail'!D$67,'Debt ReFi'!$B$5)</f>
        <v>0.0275</v>
      </c>
      <c r="I352" s="1">
        <f t="shared" si="1"/>
        <v>341</v>
      </c>
      <c r="J352" s="406">
        <f t="shared" si="13"/>
        <v>56005</v>
      </c>
      <c r="K352" s="105">
        <f t="shared" si="9"/>
        <v>33</v>
      </c>
      <c r="L352" s="411">
        <f t="shared" si="10"/>
        <v>489357.75</v>
      </c>
      <c r="M352" s="407">
        <f t="shared" si="2"/>
        <v>467459.5967</v>
      </c>
      <c r="N352" s="407">
        <f t="shared" si="3"/>
        <v>21898.15321</v>
      </c>
      <c r="O352" s="407">
        <f t="shared" si="4"/>
        <v>9088098.167</v>
      </c>
      <c r="P352" s="1"/>
    </row>
    <row r="353" ht="12.75" customHeight="1">
      <c r="A353" s="1">
        <v>342.0</v>
      </c>
      <c r="B353" s="408">
        <f t="shared" si="5"/>
        <v>489357.75</v>
      </c>
      <c r="C353" s="408">
        <f t="shared" si="6"/>
        <v>20826.89163</v>
      </c>
      <c r="D353" s="408">
        <f t="shared" si="7"/>
        <v>468530.8583</v>
      </c>
      <c r="E353" s="176">
        <f t="shared" si="8"/>
        <v>8619567.309</v>
      </c>
      <c r="F353" s="408">
        <f t="shared" si="11"/>
        <v>56110151.41</v>
      </c>
      <c r="G353" s="408">
        <f t="shared" si="12"/>
        <v>167360350.5</v>
      </c>
      <c r="H353" s="410">
        <f>IF(K353&gt;='Pro Forma Detail'!D$66,'Pro Forma Detail'!D$67,'Debt ReFi'!$B$5)</f>
        <v>0.0275</v>
      </c>
      <c r="I353" s="1">
        <f t="shared" si="1"/>
        <v>342</v>
      </c>
      <c r="J353" s="406">
        <f t="shared" si="13"/>
        <v>56036</v>
      </c>
      <c r="K353" s="105">
        <f t="shared" si="9"/>
        <v>33</v>
      </c>
      <c r="L353" s="411">
        <f t="shared" si="10"/>
        <v>489357.75</v>
      </c>
      <c r="M353" s="407">
        <f t="shared" si="2"/>
        <v>468530.8583</v>
      </c>
      <c r="N353" s="407">
        <f t="shared" si="3"/>
        <v>20826.89163</v>
      </c>
      <c r="O353" s="407">
        <f t="shared" si="4"/>
        <v>8619567.309</v>
      </c>
      <c r="P353" s="1"/>
    </row>
    <row r="354" ht="12.75" customHeight="1">
      <c r="A354" s="1">
        <v>343.0</v>
      </c>
      <c r="B354" s="408">
        <f t="shared" si="5"/>
        <v>489357.75</v>
      </c>
      <c r="C354" s="408">
        <f t="shared" si="6"/>
        <v>19753.17508</v>
      </c>
      <c r="D354" s="408">
        <f t="shared" si="7"/>
        <v>469604.5749</v>
      </c>
      <c r="E354" s="176">
        <f t="shared" si="8"/>
        <v>8149962.734</v>
      </c>
      <c r="F354" s="408">
        <f t="shared" si="11"/>
        <v>56129904.58</v>
      </c>
      <c r="G354" s="408">
        <f t="shared" si="12"/>
        <v>167849708.2</v>
      </c>
      <c r="H354" s="410">
        <f>IF(K354&gt;='Pro Forma Detail'!D$66,'Pro Forma Detail'!D$67,'Debt ReFi'!$B$5)</f>
        <v>0.0275</v>
      </c>
      <c r="I354" s="1">
        <f t="shared" si="1"/>
        <v>343</v>
      </c>
      <c r="J354" s="406">
        <f t="shared" si="13"/>
        <v>56066</v>
      </c>
      <c r="K354" s="105">
        <f t="shared" si="9"/>
        <v>33</v>
      </c>
      <c r="L354" s="411">
        <f t="shared" si="10"/>
        <v>489357.75</v>
      </c>
      <c r="M354" s="407">
        <f t="shared" si="2"/>
        <v>469604.5749</v>
      </c>
      <c r="N354" s="407">
        <f t="shared" si="3"/>
        <v>19753.17508</v>
      </c>
      <c r="O354" s="407">
        <f t="shared" si="4"/>
        <v>8149962.734</v>
      </c>
      <c r="P354" s="1"/>
    </row>
    <row r="355" ht="12.75" customHeight="1">
      <c r="A355" s="1">
        <v>344.0</v>
      </c>
      <c r="B355" s="408">
        <f t="shared" si="5"/>
        <v>489357.75</v>
      </c>
      <c r="C355" s="408">
        <f t="shared" si="6"/>
        <v>18676.99793</v>
      </c>
      <c r="D355" s="408">
        <f t="shared" si="7"/>
        <v>470680.752</v>
      </c>
      <c r="E355" s="176">
        <f t="shared" si="8"/>
        <v>7679281.982</v>
      </c>
      <c r="F355" s="408">
        <f t="shared" si="11"/>
        <v>56148581.58</v>
      </c>
      <c r="G355" s="408">
        <f t="shared" si="12"/>
        <v>168339066</v>
      </c>
      <c r="H355" s="410">
        <f>IF(K355&gt;='Pro Forma Detail'!D$66,'Pro Forma Detail'!D$67,'Debt ReFi'!$B$5)</f>
        <v>0.0275</v>
      </c>
      <c r="I355" s="1">
        <f t="shared" si="1"/>
        <v>344</v>
      </c>
      <c r="J355" s="406">
        <f t="shared" si="13"/>
        <v>56097</v>
      </c>
      <c r="K355" s="105">
        <f t="shared" si="9"/>
        <v>33</v>
      </c>
      <c r="L355" s="411">
        <f t="shared" si="10"/>
        <v>489357.75</v>
      </c>
      <c r="M355" s="407">
        <f t="shared" si="2"/>
        <v>470680.752</v>
      </c>
      <c r="N355" s="407">
        <f t="shared" si="3"/>
        <v>18676.99793</v>
      </c>
      <c r="O355" s="407">
        <f t="shared" si="4"/>
        <v>7679281.982</v>
      </c>
      <c r="P355" s="1"/>
    </row>
    <row r="356" ht="12.75" customHeight="1">
      <c r="A356" s="1">
        <v>345.0</v>
      </c>
      <c r="B356" s="408">
        <f t="shared" si="5"/>
        <v>489357.75</v>
      </c>
      <c r="C356" s="408">
        <f t="shared" si="6"/>
        <v>17598.35454</v>
      </c>
      <c r="D356" s="408">
        <f t="shared" si="7"/>
        <v>471759.3954</v>
      </c>
      <c r="E356" s="176">
        <f t="shared" si="8"/>
        <v>7207522.587</v>
      </c>
      <c r="F356" s="408">
        <f t="shared" si="11"/>
        <v>56166179.94</v>
      </c>
      <c r="G356" s="408">
        <f t="shared" si="12"/>
        <v>168828423.7</v>
      </c>
      <c r="H356" s="410">
        <f>IF(K356&gt;='Pro Forma Detail'!D$66,'Pro Forma Detail'!D$67,'Debt ReFi'!$B$5)</f>
        <v>0.0275</v>
      </c>
      <c r="I356" s="1">
        <f t="shared" si="1"/>
        <v>345</v>
      </c>
      <c r="J356" s="406">
        <f t="shared" si="13"/>
        <v>56128</v>
      </c>
      <c r="K356" s="105">
        <f t="shared" si="9"/>
        <v>33</v>
      </c>
      <c r="L356" s="411">
        <f t="shared" si="10"/>
        <v>489357.75</v>
      </c>
      <c r="M356" s="407">
        <f t="shared" si="2"/>
        <v>471759.3954</v>
      </c>
      <c r="N356" s="407">
        <f t="shared" si="3"/>
        <v>17598.35454</v>
      </c>
      <c r="O356" s="407">
        <f t="shared" si="4"/>
        <v>7207522.587</v>
      </c>
      <c r="P356" s="1"/>
    </row>
    <row r="357" ht="12.75" customHeight="1">
      <c r="A357" s="1">
        <v>346.0</v>
      </c>
      <c r="B357" s="408">
        <f t="shared" si="5"/>
        <v>489357.75</v>
      </c>
      <c r="C357" s="408">
        <f t="shared" si="6"/>
        <v>16517.23926</v>
      </c>
      <c r="D357" s="408">
        <f t="shared" si="7"/>
        <v>472840.5107</v>
      </c>
      <c r="E357" s="176">
        <f t="shared" si="8"/>
        <v>6734682.076</v>
      </c>
      <c r="F357" s="408">
        <f t="shared" si="11"/>
        <v>56182697.17</v>
      </c>
      <c r="G357" s="408">
        <f t="shared" si="12"/>
        <v>169317781.5</v>
      </c>
      <c r="H357" s="410">
        <f>IF(K357&gt;='Pro Forma Detail'!D$66,'Pro Forma Detail'!D$67,'Debt ReFi'!$B$5)</f>
        <v>0.0275</v>
      </c>
      <c r="I357" s="1">
        <f t="shared" si="1"/>
        <v>346</v>
      </c>
      <c r="J357" s="406">
        <f t="shared" si="13"/>
        <v>56158</v>
      </c>
      <c r="K357" s="105">
        <f t="shared" si="9"/>
        <v>33</v>
      </c>
      <c r="L357" s="411">
        <f t="shared" si="10"/>
        <v>489357.75</v>
      </c>
      <c r="M357" s="407">
        <f t="shared" si="2"/>
        <v>472840.5107</v>
      </c>
      <c r="N357" s="407">
        <f t="shared" si="3"/>
        <v>16517.23926</v>
      </c>
      <c r="O357" s="407">
        <f t="shared" si="4"/>
        <v>6734682.076</v>
      </c>
      <c r="P357" s="1"/>
    </row>
    <row r="358" ht="12.75" customHeight="1">
      <c r="A358" s="1">
        <v>347.0</v>
      </c>
      <c r="B358" s="408">
        <f t="shared" si="5"/>
        <v>489357.75</v>
      </c>
      <c r="C358" s="408">
        <f t="shared" si="6"/>
        <v>15433.64642</v>
      </c>
      <c r="D358" s="408">
        <f t="shared" si="7"/>
        <v>473924.1035</v>
      </c>
      <c r="E358" s="176">
        <f t="shared" si="8"/>
        <v>6260757.973</v>
      </c>
      <c r="F358" s="408">
        <f t="shared" si="11"/>
        <v>56198130.82</v>
      </c>
      <c r="G358" s="408">
        <f t="shared" si="12"/>
        <v>169807139.2</v>
      </c>
      <c r="H358" s="410">
        <f>IF(K358&gt;='Pro Forma Detail'!D$66,'Pro Forma Detail'!D$67,'Debt ReFi'!$B$5)</f>
        <v>0.0275</v>
      </c>
      <c r="I358" s="1">
        <f t="shared" si="1"/>
        <v>347</v>
      </c>
      <c r="J358" s="406">
        <f t="shared" si="13"/>
        <v>56189</v>
      </c>
      <c r="K358" s="105">
        <f t="shared" si="9"/>
        <v>33</v>
      </c>
      <c r="L358" s="411">
        <f t="shared" si="10"/>
        <v>489357.75</v>
      </c>
      <c r="M358" s="407">
        <f t="shared" si="2"/>
        <v>473924.1035</v>
      </c>
      <c r="N358" s="407">
        <f t="shared" si="3"/>
        <v>15433.64642</v>
      </c>
      <c r="O358" s="407">
        <f t="shared" si="4"/>
        <v>6260757.973</v>
      </c>
      <c r="P358" s="1"/>
    </row>
    <row r="359" ht="12.75" customHeight="1">
      <c r="A359" s="1">
        <v>348.0</v>
      </c>
      <c r="B359" s="408">
        <f t="shared" si="5"/>
        <v>489357.75</v>
      </c>
      <c r="C359" s="408">
        <f t="shared" si="6"/>
        <v>14347.57035</v>
      </c>
      <c r="D359" s="408">
        <f t="shared" si="7"/>
        <v>475010.1796</v>
      </c>
      <c r="E359" s="176">
        <f t="shared" si="8"/>
        <v>5785747.793</v>
      </c>
      <c r="F359" s="408">
        <f t="shared" si="11"/>
        <v>56212478.39</v>
      </c>
      <c r="G359" s="408">
        <f t="shared" si="12"/>
        <v>170296497</v>
      </c>
      <c r="H359" s="410">
        <f>IF(K359&gt;='Pro Forma Detail'!D$66,'Pro Forma Detail'!D$67,'Debt ReFi'!$B$5)</f>
        <v>0.0275</v>
      </c>
      <c r="I359" s="1">
        <f t="shared" si="1"/>
        <v>348</v>
      </c>
      <c r="J359" s="406">
        <f t="shared" si="13"/>
        <v>56219</v>
      </c>
      <c r="K359" s="105">
        <f t="shared" si="9"/>
        <v>33</v>
      </c>
      <c r="L359" s="411">
        <f t="shared" si="10"/>
        <v>489357.75</v>
      </c>
      <c r="M359" s="407">
        <f t="shared" si="2"/>
        <v>475010.1796</v>
      </c>
      <c r="N359" s="407">
        <f t="shared" si="3"/>
        <v>14347.57035</v>
      </c>
      <c r="O359" s="407">
        <f t="shared" si="4"/>
        <v>5785747.793</v>
      </c>
      <c r="P359" s="1"/>
    </row>
    <row r="360" ht="12.75" customHeight="1">
      <c r="A360" s="1">
        <v>349.0</v>
      </c>
      <c r="B360" s="408">
        <f t="shared" si="5"/>
        <v>489357.75</v>
      </c>
      <c r="C360" s="408">
        <f t="shared" si="6"/>
        <v>13259.00536</v>
      </c>
      <c r="D360" s="408">
        <f t="shared" si="7"/>
        <v>476098.7446</v>
      </c>
      <c r="E360" s="176">
        <f t="shared" si="8"/>
        <v>5309649.048</v>
      </c>
      <c r="F360" s="408">
        <f t="shared" si="11"/>
        <v>56225737.4</v>
      </c>
      <c r="G360" s="408">
        <f t="shared" si="12"/>
        <v>170785854.7</v>
      </c>
      <c r="H360" s="410">
        <f>IF(K360&gt;='Pro Forma Detail'!D$66,'Pro Forma Detail'!D$67,'Debt ReFi'!$B$5)</f>
        <v>0.0275</v>
      </c>
      <c r="I360" s="1">
        <f t="shared" si="1"/>
        <v>349</v>
      </c>
      <c r="J360" s="406">
        <f t="shared" si="13"/>
        <v>56250</v>
      </c>
      <c r="K360" s="105">
        <f t="shared" si="9"/>
        <v>34</v>
      </c>
      <c r="L360" s="411">
        <f t="shared" si="10"/>
        <v>489357.75</v>
      </c>
      <c r="M360" s="407">
        <f t="shared" si="2"/>
        <v>476098.7446</v>
      </c>
      <c r="N360" s="407">
        <f t="shared" si="3"/>
        <v>13259.00536</v>
      </c>
      <c r="O360" s="407">
        <f t="shared" si="4"/>
        <v>5309649.048</v>
      </c>
      <c r="P360" s="1"/>
    </row>
    <row r="361" ht="12.75" customHeight="1">
      <c r="A361" s="1">
        <v>350.0</v>
      </c>
      <c r="B361" s="408">
        <f t="shared" si="5"/>
        <v>489357.75</v>
      </c>
      <c r="C361" s="408">
        <f t="shared" si="6"/>
        <v>12167.94574</v>
      </c>
      <c r="D361" s="408">
        <f t="shared" si="7"/>
        <v>477189.8042</v>
      </c>
      <c r="E361" s="176">
        <f t="shared" si="8"/>
        <v>4832459.244</v>
      </c>
      <c r="F361" s="408">
        <f t="shared" si="11"/>
        <v>56237905.34</v>
      </c>
      <c r="G361" s="408">
        <f t="shared" si="12"/>
        <v>171275212.5</v>
      </c>
      <c r="H361" s="410">
        <f>IF(K361&gt;='Pro Forma Detail'!D$66,'Pro Forma Detail'!D$67,'Debt ReFi'!$B$5)</f>
        <v>0.0275</v>
      </c>
      <c r="I361" s="1">
        <f t="shared" si="1"/>
        <v>350</v>
      </c>
      <c r="J361" s="406">
        <f t="shared" si="13"/>
        <v>56281</v>
      </c>
      <c r="K361" s="105">
        <f t="shared" si="9"/>
        <v>34</v>
      </c>
      <c r="L361" s="411">
        <f t="shared" si="10"/>
        <v>489357.75</v>
      </c>
      <c r="M361" s="407">
        <f t="shared" si="2"/>
        <v>477189.8042</v>
      </c>
      <c r="N361" s="407">
        <f t="shared" si="3"/>
        <v>12167.94574</v>
      </c>
      <c r="O361" s="407">
        <f t="shared" si="4"/>
        <v>4832459.244</v>
      </c>
      <c r="P361" s="1"/>
    </row>
    <row r="362" ht="12.75" customHeight="1">
      <c r="A362" s="1">
        <v>351.0</v>
      </c>
      <c r="B362" s="408">
        <f t="shared" si="5"/>
        <v>489357.75</v>
      </c>
      <c r="C362" s="408">
        <f t="shared" si="6"/>
        <v>11074.38577</v>
      </c>
      <c r="D362" s="408">
        <f t="shared" si="7"/>
        <v>478283.3642</v>
      </c>
      <c r="E362" s="176">
        <f t="shared" si="8"/>
        <v>4354175.88</v>
      </c>
      <c r="F362" s="408">
        <f t="shared" si="11"/>
        <v>56248979.73</v>
      </c>
      <c r="G362" s="408">
        <f t="shared" si="12"/>
        <v>171764570.2</v>
      </c>
      <c r="H362" s="410">
        <f>IF(K362&gt;='Pro Forma Detail'!D$66,'Pro Forma Detail'!D$67,'Debt ReFi'!$B$5)</f>
        <v>0.0275</v>
      </c>
      <c r="I362" s="1">
        <f t="shared" si="1"/>
        <v>351</v>
      </c>
      <c r="J362" s="406">
        <f t="shared" si="13"/>
        <v>56309</v>
      </c>
      <c r="K362" s="105">
        <f t="shared" si="9"/>
        <v>34</v>
      </c>
      <c r="L362" s="411">
        <f t="shared" si="10"/>
        <v>489357.75</v>
      </c>
      <c r="M362" s="407">
        <f t="shared" si="2"/>
        <v>478283.3642</v>
      </c>
      <c r="N362" s="407">
        <f t="shared" si="3"/>
        <v>11074.38577</v>
      </c>
      <c r="O362" s="407">
        <f t="shared" si="4"/>
        <v>4354175.88</v>
      </c>
      <c r="P362" s="1"/>
    </row>
    <row r="363" ht="12.75" customHeight="1">
      <c r="A363" s="1">
        <v>352.0</v>
      </c>
      <c r="B363" s="408">
        <f t="shared" si="5"/>
        <v>489357.75</v>
      </c>
      <c r="C363" s="408">
        <f t="shared" si="6"/>
        <v>9978.319725</v>
      </c>
      <c r="D363" s="408">
        <f t="shared" si="7"/>
        <v>479379.4302</v>
      </c>
      <c r="E363" s="176">
        <f t="shared" si="8"/>
        <v>3874796.45</v>
      </c>
      <c r="F363" s="408">
        <f t="shared" si="11"/>
        <v>56258958.05</v>
      </c>
      <c r="G363" s="408">
        <f t="shared" si="12"/>
        <v>172253928</v>
      </c>
      <c r="H363" s="410">
        <f>IF(K363&gt;='Pro Forma Detail'!D$66,'Pro Forma Detail'!D$67,'Debt ReFi'!$B$5)</f>
        <v>0.0275</v>
      </c>
      <c r="I363" s="1">
        <f t="shared" si="1"/>
        <v>352</v>
      </c>
      <c r="J363" s="406">
        <f t="shared" si="13"/>
        <v>56340</v>
      </c>
      <c r="K363" s="105">
        <f t="shared" si="9"/>
        <v>34</v>
      </c>
      <c r="L363" s="411">
        <f t="shared" si="10"/>
        <v>489357.75</v>
      </c>
      <c r="M363" s="407">
        <f t="shared" si="2"/>
        <v>479379.4302</v>
      </c>
      <c r="N363" s="407">
        <f t="shared" si="3"/>
        <v>9978.319725</v>
      </c>
      <c r="O363" s="407">
        <f t="shared" si="4"/>
        <v>3874796.45</v>
      </c>
      <c r="P363" s="1"/>
    </row>
    <row r="364" ht="12.75" customHeight="1">
      <c r="A364" s="1">
        <v>353.0</v>
      </c>
      <c r="B364" s="408">
        <f t="shared" si="5"/>
        <v>489357.75</v>
      </c>
      <c r="C364" s="408">
        <f t="shared" si="6"/>
        <v>8879.741864</v>
      </c>
      <c r="D364" s="408">
        <f t="shared" si="7"/>
        <v>480478.0081</v>
      </c>
      <c r="E364" s="176">
        <f t="shared" si="8"/>
        <v>3394318.442</v>
      </c>
      <c r="F364" s="408">
        <f t="shared" si="11"/>
        <v>56267837.79</v>
      </c>
      <c r="G364" s="408">
        <f t="shared" si="12"/>
        <v>172743285.7</v>
      </c>
      <c r="H364" s="410">
        <f>IF(K364&gt;='Pro Forma Detail'!D$66,'Pro Forma Detail'!D$67,'Debt ReFi'!$B$5)</f>
        <v>0.0275</v>
      </c>
      <c r="I364" s="1">
        <f t="shared" si="1"/>
        <v>353</v>
      </c>
      <c r="J364" s="406">
        <f t="shared" si="13"/>
        <v>56370</v>
      </c>
      <c r="K364" s="105">
        <f t="shared" si="9"/>
        <v>34</v>
      </c>
      <c r="L364" s="411">
        <f t="shared" si="10"/>
        <v>489357.75</v>
      </c>
      <c r="M364" s="407">
        <f t="shared" si="2"/>
        <v>480478.0081</v>
      </c>
      <c r="N364" s="407">
        <f t="shared" si="3"/>
        <v>8879.741864</v>
      </c>
      <c r="O364" s="407">
        <f t="shared" si="4"/>
        <v>3394318.442</v>
      </c>
      <c r="P364" s="1"/>
    </row>
    <row r="365" ht="12.75" customHeight="1">
      <c r="A365" s="1">
        <v>354.0</v>
      </c>
      <c r="B365" s="408">
        <f t="shared" si="5"/>
        <v>489357.75</v>
      </c>
      <c r="C365" s="408">
        <f t="shared" si="6"/>
        <v>7778.646429</v>
      </c>
      <c r="D365" s="408">
        <f t="shared" si="7"/>
        <v>481579.1035</v>
      </c>
      <c r="E365" s="176">
        <f t="shared" si="8"/>
        <v>2912739.338</v>
      </c>
      <c r="F365" s="408">
        <f t="shared" si="11"/>
        <v>56275616.44</v>
      </c>
      <c r="G365" s="408">
        <f t="shared" si="12"/>
        <v>173232643.5</v>
      </c>
      <c r="H365" s="410">
        <f>IF(K365&gt;='Pro Forma Detail'!D$66,'Pro Forma Detail'!D$67,'Debt ReFi'!$B$5)</f>
        <v>0.0275</v>
      </c>
      <c r="I365" s="1">
        <f t="shared" si="1"/>
        <v>354</v>
      </c>
      <c r="J365" s="406">
        <f t="shared" si="13"/>
        <v>56401</v>
      </c>
      <c r="K365" s="105">
        <f t="shared" si="9"/>
        <v>34</v>
      </c>
      <c r="L365" s="411">
        <f t="shared" si="10"/>
        <v>489357.75</v>
      </c>
      <c r="M365" s="407">
        <f t="shared" si="2"/>
        <v>481579.1035</v>
      </c>
      <c r="N365" s="407">
        <f t="shared" si="3"/>
        <v>7778.646429</v>
      </c>
      <c r="O365" s="407">
        <f t="shared" si="4"/>
        <v>2912739.338</v>
      </c>
      <c r="P365" s="1"/>
    </row>
    <row r="366" ht="12.75" customHeight="1">
      <c r="A366" s="1">
        <v>355.0</v>
      </c>
      <c r="B366" s="408">
        <f t="shared" si="5"/>
        <v>489357.75</v>
      </c>
      <c r="C366" s="408">
        <f t="shared" si="6"/>
        <v>6675.02765</v>
      </c>
      <c r="D366" s="408">
        <f t="shared" si="7"/>
        <v>482682.7223</v>
      </c>
      <c r="E366" s="176">
        <f t="shared" si="8"/>
        <v>2430056.616</v>
      </c>
      <c r="F366" s="408">
        <f t="shared" si="11"/>
        <v>56282291.46</v>
      </c>
      <c r="G366" s="408">
        <f t="shared" si="12"/>
        <v>173722001.2</v>
      </c>
      <c r="H366" s="410">
        <f>IF(K366&gt;='Pro Forma Detail'!D$66,'Pro Forma Detail'!D$67,'Debt ReFi'!$B$5)</f>
        <v>0.0275</v>
      </c>
      <c r="I366" s="1">
        <f t="shared" si="1"/>
        <v>355</v>
      </c>
      <c r="J366" s="406">
        <f t="shared" si="13"/>
        <v>56431</v>
      </c>
      <c r="K366" s="105">
        <f t="shared" si="9"/>
        <v>34</v>
      </c>
      <c r="L366" s="411">
        <f t="shared" si="10"/>
        <v>489357.75</v>
      </c>
      <c r="M366" s="407">
        <f t="shared" si="2"/>
        <v>482682.7223</v>
      </c>
      <c r="N366" s="407">
        <f t="shared" si="3"/>
        <v>6675.02765</v>
      </c>
      <c r="O366" s="407">
        <f t="shared" si="4"/>
        <v>2430056.616</v>
      </c>
      <c r="P366" s="1"/>
    </row>
    <row r="367" ht="12.75" customHeight="1">
      <c r="A367" s="1">
        <v>356.0</v>
      </c>
      <c r="B367" s="408">
        <f t="shared" si="5"/>
        <v>489357.75</v>
      </c>
      <c r="C367" s="408">
        <f t="shared" si="6"/>
        <v>5568.879744</v>
      </c>
      <c r="D367" s="408">
        <f t="shared" si="7"/>
        <v>483788.8702</v>
      </c>
      <c r="E367" s="176">
        <f t="shared" si="8"/>
        <v>1946267.746</v>
      </c>
      <c r="F367" s="408">
        <f t="shared" si="11"/>
        <v>56287860.34</v>
      </c>
      <c r="G367" s="408">
        <f t="shared" si="12"/>
        <v>174211359</v>
      </c>
      <c r="H367" s="410">
        <f>IF(K367&gt;='Pro Forma Detail'!D$66,'Pro Forma Detail'!D$67,'Debt ReFi'!$B$5)</f>
        <v>0.0275</v>
      </c>
      <c r="I367" s="1">
        <f t="shared" si="1"/>
        <v>356</v>
      </c>
      <c r="J367" s="406">
        <f t="shared" si="13"/>
        <v>56462</v>
      </c>
      <c r="K367" s="105">
        <f t="shared" si="9"/>
        <v>34</v>
      </c>
      <c r="L367" s="411">
        <f t="shared" si="10"/>
        <v>489357.75</v>
      </c>
      <c r="M367" s="407">
        <f t="shared" si="2"/>
        <v>483788.8702</v>
      </c>
      <c r="N367" s="407">
        <f t="shared" si="3"/>
        <v>5568.879744</v>
      </c>
      <c r="O367" s="407">
        <f t="shared" si="4"/>
        <v>1946267.746</v>
      </c>
      <c r="P367" s="1"/>
    </row>
    <row r="368" ht="12.75" customHeight="1">
      <c r="A368" s="1">
        <v>357.0</v>
      </c>
      <c r="B368" s="408">
        <f t="shared" si="5"/>
        <v>489357.75</v>
      </c>
      <c r="C368" s="408">
        <f t="shared" si="6"/>
        <v>4460.196917</v>
      </c>
      <c r="D368" s="408">
        <f t="shared" si="7"/>
        <v>484897.553</v>
      </c>
      <c r="E368" s="176">
        <f t="shared" si="8"/>
        <v>1461370.193</v>
      </c>
      <c r="F368" s="408">
        <f t="shared" si="11"/>
        <v>56292320.54</v>
      </c>
      <c r="G368" s="408">
        <f t="shared" si="12"/>
        <v>174700716.7</v>
      </c>
      <c r="H368" s="410">
        <f>IF(K368&gt;='Pro Forma Detail'!D$66,'Pro Forma Detail'!D$67,'Debt ReFi'!$B$5)</f>
        <v>0.0275</v>
      </c>
      <c r="I368" s="1">
        <f t="shared" si="1"/>
        <v>357</v>
      </c>
      <c r="J368" s="406">
        <f t="shared" si="13"/>
        <v>56493</v>
      </c>
      <c r="K368" s="105">
        <f t="shared" si="9"/>
        <v>34</v>
      </c>
      <c r="L368" s="411">
        <f t="shared" si="10"/>
        <v>489357.75</v>
      </c>
      <c r="M368" s="407">
        <f t="shared" si="2"/>
        <v>484897.553</v>
      </c>
      <c r="N368" s="407">
        <f t="shared" si="3"/>
        <v>4460.196917</v>
      </c>
      <c r="O368" s="407">
        <f t="shared" si="4"/>
        <v>1461370.193</v>
      </c>
      <c r="P368" s="1"/>
    </row>
    <row r="369" ht="12.75" customHeight="1">
      <c r="A369" s="1">
        <v>358.0</v>
      </c>
      <c r="B369" s="408">
        <f t="shared" si="5"/>
        <v>489357.75</v>
      </c>
      <c r="C369" s="408">
        <f t="shared" si="6"/>
        <v>3348.973358</v>
      </c>
      <c r="D369" s="408">
        <f t="shared" si="7"/>
        <v>486008.7766</v>
      </c>
      <c r="E369" s="176">
        <f t="shared" si="8"/>
        <v>975361.4159</v>
      </c>
      <c r="F369" s="408">
        <f t="shared" si="11"/>
        <v>56295669.51</v>
      </c>
      <c r="G369" s="408">
        <f t="shared" si="12"/>
        <v>175190074.5</v>
      </c>
      <c r="H369" s="410">
        <f>IF(K369&gt;='Pro Forma Detail'!D$66,'Pro Forma Detail'!D$67,'Debt ReFi'!$B$5)</f>
        <v>0.0275</v>
      </c>
      <c r="I369" s="1">
        <f t="shared" si="1"/>
        <v>358</v>
      </c>
      <c r="J369" s="406">
        <f t="shared" si="13"/>
        <v>56523</v>
      </c>
      <c r="K369" s="105">
        <f t="shared" si="9"/>
        <v>34</v>
      </c>
      <c r="L369" s="411">
        <f t="shared" si="10"/>
        <v>489357.75</v>
      </c>
      <c r="M369" s="407">
        <f t="shared" si="2"/>
        <v>486008.7766</v>
      </c>
      <c r="N369" s="407">
        <f t="shared" si="3"/>
        <v>3348.973358</v>
      </c>
      <c r="O369" s="407">
        <f t="shared" si="4"/>
        <v>975361.4159</v>
      </c>
      <c r="P369" s="1"/>
    </row>
    <row r="370" ht="12.75" customHeight="1">
      <c r="A370" s="1">
        <v>359.0</v>
      </c>
      <c r="B370" s="408">
        <f t="shared" si="5"/>
        <v>489357.75</v>
      </c>
      <c r="C370" s="408">
        <f t="shared" si="6"/>
        <v>2235.203245</v>
      </c>
      <c r="D370" s="408">
        <f t="shared" si="7"/>
        <v>487122.5467</v>
      </c>
      <c r="E370" s="176">
        <f t="shared" si="8"/>
        <v>488238.8692</v>
      </c>
      <c r="F370" s="408">
        <f t="shared" si="11"/>
        <v>56297904.72</v>
      </c>
      <c r="G370" s="408">
        <f t="shared" si="12"/>
        <v>175679432.2</v>
      </c>
      <c r="H370" s="410">
        <f>IF(K370&gt;='Pro Forma Detail'!D$66,'Pro Forma Detail'!D$67,'Debt ReFi'!$B$5)</f>
        <v>0.0275</v>
      </c>
      <c r="I370" s="1">
        <f t="shared" si="1"/>
        <v>359</v>
      </c>
      <c r="J370" s="406">
        <f t="shared" si="13"/>
        <v>56554</v>
      </c>
      <c r="K370" s="105">
        <f t="shared" si="9"/>
        <v>34</v>
      </c>
      <c r="L370" s="411">
        <f t="shared" si="10"/>
        <v>489357.75</v>
      </c>
      <c r="M370" s="407">
        <f t="shared" si="2"/>
        <v>487122.5467</v>
      </c>
      <c r="N370" s="407">
        <f t="shared" si="3"/>
        <v>2235.203245</v>
      </c>
      <c r="O370" s="407">
        <f t="shared" si="4"/>
        <v>488238.8692</v>
      </c>
      <c r="P370" s="1"/>
    </row>
    <row r="371" ht="12.75" customHeight="1">
      <c r="A371" s="1">
        <v>360.0</v>
      </c>
      <c r="B371" s="408">
        <f t="shared" si="5"/>
        <v>489357.75</v>
      </c>
      <c r="C371" s="408">
        <f t="shared" si="6"/>
        <v>1118.880742</v>
      </c>
      <c r="D371" s="408">
        <f t="shared" si="7"/>
        <v>488238.8692</v>
      </c>
      <c r="E371" s="176">
        <f t="shared" si="8"/>
        <v>-0.00000001833541319</v>
      </c>
      <c r="F371" s="408">
        <f t="shared" si="11"/>
        <v>56299023.6</v>
      </c>
      <c r="G371" s="408">
        <f t="shared" si="12"/>
        <v>176168790</v>
      </c>
      <c r="H371" s="410">
        <f>IF(K371&gt;='Pro Forma Detail'!D$66,'Pro Forma Detail'!D$67,'Debt ReFi'!$B$5)</f>
        <v>0.0275</v>
      </c>
      <c r="I371" s="1">
        <f t="shared" si="1"/>
        <v>360</v>
      </c>
      <c r="J371" s="406">
        <f t="shared" si="13"/>
        <v>56584</v>
      </c>
      <c r="K371" s="105">
        <f t="shared" si="9"/>
        <v>34</v>
      </c>
      <c r="L371" s="411">
        <f t="shared" si="10"/>
        <v>489357.75</v>
      </c>
      <c r="M371" s="407">
        <f t="shared" si="2"/>
        <v>488238.8692</v>
      </c>
      <c r="N371" s="407">
        <f t="shared" si="3"/>
        <v>1118.880742</v>
      </c>
      <c r="O371" s="407">
        <f t="shared" si="4"/>
        <v>-0.00000001833541319</v>
      </c>
      <c r="P371" s="1"/>
    </row>
    <row r="372" ht="12.75" customHeight="1">
      <c r="A372" s="1">
        <v>361.0</v>
      </c>
      <c r="B372" s="408" t="str">
        <f t="shared" si="5"/>
        <v/>
      </c>
      <c r="C372" s="408">
        <f t="shared" si="6"/>
        <v>0</v>
      </c>
      <c r="D372" s="408" t="str">
        <f t="shared" si="7"/>
        <v/>
      </c>
      <c r="E372" s="176" t="str">
        <f t="shared" si="8"/>
        <v/>
      </c>
      <c r="F372" s="408" t="str">
        <f t="shared" si="11"/>
        <v/>
      </c>
      <c r="G372" s="408" t="str">
        <f t="shared" si="12"/>
        <v/>
      </c>
      <c r="H372" s="410">
        <f>IF(K372&gt;='Pro Forma Detail'!D$66,'Pro Forma Detail'!D$67,'Debt ReFi'!$B$5)</f>
        <v>0.0275</v>
      </c>
      <c r="I372" s="1" t="str">
        <f t="shared" si="1"/>
        <v/>
      </c>
      <c r="J372" s="406">
        <f t="shared" si="13"/>
        <v>56615</v>
      </c>
      <c r="K372" s="105">
        <f t="shared" si="9"/>
        <v>35</v>
      </c>
      <c r="L372" s="411" t="str">
        <f t="shared" si="10"/>
        <v/>
      </c>
      <c r="M372" s="407" t="str">
        <f t="shared" si="2"/>
        <v/>
      </c>
      <c r="N372" s="407">
        <f t="shared" si="3"/>
        <v>0</v>
      </c>
      <c r="O372" s="407" t="str">
        <f t="shared" si="4"/>
        <v/>
      </c>
      <c r="P372" s="1"/>
    </row>
    <row r="373" ht="12.75" customHeight="1">
      <c r="A373" s="1">
        <v>362.0</v>
      </c>
      <c r="B373" s="408" t="str">
        <f t="shared" si="5"/>
        <v/>
      </c>
      <c r="C373" s="408">
        <f t="shared" si="6"/>
        <v>0</v>
      </c>
      <c r="D373" s="408" t="str">
        <f t="shared" si="7"/>
        <v/>
      </c>
      <c r="E373" s="176" t="str">
        <f t="shared" si="8"/>
        <v/>
      </c>
      <c r="F373" s="408" t="str">
        <f t="shared" si="11"/>
        <v/>
      </c>
      <c r="G373" s="408" t="str">
        <f t="shared" si="12"/>
        <v/>
      </c>
      <c r="H373" s="410">
        <f>IF(K373&gt;='Pro Forma Detail'!D$66,'Pro Forma Detail'!D$67,'Debt ReFi'!$B$5)</f>
        <v>0.0275</v>
      </c>
      <c r="I373" s="1" t="str">
        <f t="shared" si="1"/>
        <v/>
      </c>
      <c r="J373" s="406">
        <f t="shared" si="13"/>
        <v>56646</v>
      </c>
      <c r="K373" s="105">
        <f t="shared" si="9"/>
        <v>35</v>
      </c>
      <c r="L373" s="411" t="str">
        <f t="shared" si="10"/>
        <v/>
      </c>
      <c r="M373" s="407" t="str">
        <f t="shared" si="2"/>
        <v/>
      </c>
      <c r="N373" s="407">
        <f t="shared" si="3"/>
        <v>0</v>
      </c>
      <c r="O373" s="407" t="str">
        <f t="shared" si="4"/>
        <v/>
      </c>
      <c r="P373" s="1"/>
    </row>
    <row r="374" ht="12.75" customHeight="1">
      <c r="A374" s="1">
        <v>363.0</v>
      </c>
      <c r="B374" s="408" t="str">
        <f t="shared" si="5"/>
        <v/>
      </c>
      <c r="C374" s="408">
        <f t="shared" si="6"/>
        <v>0</v>
      </c>
      <c r="D374" s="408" t="str">
        <f t="shared" si="7"/>
        <v/>
      </c>
      <c r="E374" s="176" t="str">
        <f t="shared" si="8"/>
        <v/>
      </c>
      <c r="F374" s="408" t="str">
        <f t="shared" si="11"/>
        <v/>
      </c>
      <c r="G374" s="408" t="str">
        <f t="shared" si="12"/>
        <v/>
      </c>
      <c r="H374" s="410">
        <f>IF(K374&gt;='Pro Forma Detail'!D$66,'Pro Forma Detail'!D$67,'Debt ReFi'!$B$5)</f>
        <v>0.0275</v>
      </c>
      <c r="I374" s="1" t="str">
        <f t="shared" si="1"/>
        <v/>
      </c>
      <c r="J374" s="406">
        <f t="shared" si="13"/>
        <v>56674</v>
      </c>
      <c r="K374" s="105">
        <f t="shared" si="9"/>
        <v>35</v>
      </c>
      <c r="L374" s="411" t="str">
        <f t="shared" si="10"/>
        <v/>
      </c>
      <c r="M374" s="407" t="str">
        <f t="shared" si="2"/>
        <v/>
      </c>
      <c r="N374" s="407">
        <f t="shared" si="3"/>
        <v>0</v>
      </c>
      <c r="O374" s="407" t="str">
        <f t="shared" si="4"/>
        <v/>
      </c>
      <c r="P374" s="1"/>
    </row>
    <row r="375" ht="12.75" customHeight="1">
      <c r="A375" s="1">
        <v>364.0</v>
      </c>
      <c r="B375" s="408" t="str">
        <f t="shared" si="5"/>
        <v/>
      </c>
      <c r="C375" s="408">
        <f t="shared" si="6"/>
        <v>0</v>
      </c>
      <c r="D375" s="408" t="str">
        <f t="shared" si="7"/>
        <v/>
      </c>
      <c r="E375" s="176" t="str">
        <f t="shared" si="8"/>
        <v/>
      </c>
      <c r="F375" s="408" t="str">
        <f t="shared" si="11"/>
        <v/>
      </c>
      <c r="G375" s="408" t="str">
        <f t="shared" si="12"/>
        <v/>
      </c>
      <c r="H375" s="410">
        <f>IF(K375&gt;='Pro Forma Detail'!D$66,'Pro Forma Detail'!D$67,'Debt ReFi'!$B$5)</f>
        <v>0.0275</v>
      </c>
      <c r="I375" s="1" t="str">
        <f t="shared" si="1"/>
        <v/>
      </c>
      <c r="J375" s="406">
        <f t="shared" si="13"/>
        <v>56705</v>
      </c>
      <c r="K375" s="105">
        <f t="shared" si="9"/>
        <v>35</v>
      </c>
      <c r="L375" s="411" t="str">
        <f t="shared" si="10"/>
        <v/>
      </c>
      <c r="M375" s="407" t="str">
        <f t="shared" si="2"/>
        <v/>
      </c>
      <c r="N375" s="407">
        <f t="shared" si="3"/>
        <v>0</v>
      </c>
      <c r="O375" s="407" t="str">
        <f t="shared" si="4"/>
        <v/>
      </c>
      <c r="P375" s="1"/>
    </row>
    <row r="376" ht="12.75" customHeight="1">
      <c r="A376" s="1">
        <v>365.0</v>
      </c>
      <c r="B376" s="408" t="str">
        <f t="shared" si="5"/>
        <v/>
      </c>
      <c r="C376" s="408">
        <f t="shared" si="6"/>
        <v>0</v>
      </c>
      <c r="D376" s="408" t="str">
        <f t="shared" si="7"/>
        <v/>
      </c>
      <c r="E376" s="176" t="str">
        <f t="shared" si="8"/>
        <v/>
      </c>
      <c r="F376" s="408" t="str">
        <f t="shared" si="11"/>
        <v/>
      </c>
      <c r="G376" s="408" t="str">
        <f t="shared" si="12"/>
        <v/>
      </c>
      <c r="H376" s="410">
        <f>IF(K376&gt;='Pro Forma Detail'!D$66,'Pro Forma Detail'!D$67,'Debt ReFi'!$B$5)</f>
        <v>0.0275</v>
      </c>
      <c r="I376" s="1" t="str">
        <f t="shared" si="1"/>
        <v/>
      </c>
      <c r="J376" s="406">
        <f t="shared" si="13"/>
        <v>56735</v>
      </c>
      <c r="K376" s="105">
        <f t="shared" si="9"/>
        <v>35</v>
      </c>
      <c r="L376" s="411" t="str">
        <f t="shared" si="10"/>
        <v/>
      </c>
      <c r="M376" s="407" t="str">
        <f t="shared" si="2"/>
        <v/>
      </c>
      <c r="N376" s="407">
        <f t="shared" si="3"/>
        <v>0</v>
      </c>
      <c r="O376" s="407" t="str">
        <f t="shared" si="4"/>
        <v/>
      </c>
      <c r="P376" s="1"/>
    </row>
    <row r="377" ht="12.75" customHeight="1">
      <c r="A377" s="1">
        <v>366.0</v>
      </c>
      <c r="B377" s="408" t="str">
        <f t="shared" si="5"/>
        <v/>
      </c>
      <c r="C377" s="408">
        <f t="shared" si="6"/>
        <v>0</v>
      </c>
      <c r="D377" s="408" t="str">
        <f t="shared" si="7"/>
        <v/>
      </c>
      <c r="E377" s="176" t="str">
        <f t="shared" si="8"/>
        <v/>
      </c>
      <c r="F377" s="408" t="str">
        <f t="shared" si="11"/>
        <v/>
      </c>
      <c r="G377" s="408" t="str">
        <f t="shared" si="12"/>
        <v/>
      </c>
      <c r="H377" s="410">
        <f>IF(K377&gt;='Pro Forma Detail'!D$66,'Pro Forma Detail'!D$67,'Debt ReFi'!$B$5)</f>
        <v>0.0275</v>
      </c>
      <c r="I377" s="1" t="str">
        <f t="shared" si="1"/>
        <v/>
      </c>
      <c r="J377" s="406">
        <f t="shared" si="13"/>
        <v>56766</v>
      </c>
      <c r="K377" s="105">
        <f t="shared" si="9"/>
        <v>35</v>
      </c>
      <c r="L377" s="411" t="str">
        <f t="shared" si="10"/>
        <v/>
      </c>
      <c r="M377" s="407" t="str">
        <f t="shared" si="2"/>
        <v/>
      </c>
      <c r="N377" s="407">
        <f t="shared" si="3"/>
        <v>0</v>
      </c>
      <c r="O377" s="407" t="str">
        <f t="shared" si="4"/>
        <v/>
      </c>
      <c r="P377" s="1"/>
    </row>
    <row r="378" ht="12.75" customHeight="1">
      <c r="A378" s="1">
        <v>367.0</v>
      </c>
      <c r="B378" s="408" t="str">
        <f t="shared" si="5"/>
        <v/>
      </c>
      <c r="C378" s="408">
        <f t="shared" si="6"/>
        <v>0</v>
      </c>
      <c r="D378" s="408" t="str">
        <f t="shared" si="7"/>
        <v/>
      </c>
      <c r="E378" s="176" t="str">
        <f t="shared" si="8"/>
        <v/>
      </c>
      <c r="F378" s="408" t="str">
        <f t="shared" si="11"/>
        <v/>
      </c>
      <c r="G378" s="408" t="str">
        <f t="shared" si="12"/>
        <v/>
      </c>
      <c r="H378" s="410">
        <f>IF(K378&gt;='Pro Forma Detail'!D$66,'Pro Forma Detail'!D$67,'Debt ReFi'!$B$5)</f>
        <v>0.0275</v>
      </c>
      <c r="I378" s="1" t="str">
        <f t="shared" si="1"/>
        <v/>
      </c>
      <c r="J378" s="406">
        <f t="shared" si="13"/>
        <v>56796</v>
      </c>
      <c r="K378" s="105">
        <f t="shared" si="9"/>
        <v>35</v>
      </c>
      <c r="L378" s="411" t="str">
        <f t="shared" si="10"/>
        <v/>
      </c>
      <c r="M378" s="407" t="str">
        <f t="shared" si="2"/>
        <v/>
      </c>
      <c r="N378" s="407">
        <f t="shared" si="3"/>
        <v>0</v>
      </c>
      <c r="O378" s="407" t="str">
        <f t="shared" si="4"/>
        <v/>
      </c>
      <c r="P378" s="1"/>
    </row>
    <row r="379" ht="12.75" customHeight="1">
      <c r="A379" s="1">
        <v>368.0</v>
      </c>
      <c r="B379" s="408" t="str">
        <f t="shared" si="5"/>
        <v/>
      </c>
      <c r="C379" s="408">
        <f t="shared" si="6"/>
        <v>0</v>
      </c>
      <c r="D379" s="408" t="str">
        <f t="shared" si="7"/>
        <v/>
      </c>
      <c r="E379" s="176" t="str">
        <f t="shared" si="8"/>
        <v/>
      </c>
      <c r="F379" s="408" t="str">
        <f t="shared" si="11"/>
        <v/>
      </c>
      <c r="G379" s="408" t="str">
        <f t="shared" si="12"/>
        <v/>
      </c>
      <c r="H379" s="410">
        <f>IF(K379&gt;='Pro Forma Detail'!D$66,'Pro Forma Detail'!D$67,'Debt ReFi'!$B$5)</f>
        <v>0.0275</v>
      </c>
      <c r="I379" s="1" t="str">
        <f t="shared" si="1"/>
        <v/>
      </c>
      <c r="J379" s="406">
        <f t="shared" si="13"/>
        <v>56827</v>
      </c>
      <c r="K379" s="105">
        <f t="shared" si="9"/>
        <v>35</v>
      </c>
      <c r="L379" s="411" t="str">
        <f t="shared" si="10"/>
        <v/>
      </c>
      <c r="M379" s="407" t="str">
        <f t="shared" si="2"/>
        <v/>
      </c>
      <c r="N379" s="407">
        <f t="shared" si="3"/>
        <v>0</v>
      </c>
      <c r="O379" s="407" t="str">
        <f t="shared" si="4"/>
        <v/>
      </c>
      <c r="P379" s="1"/>
    </row>
    <row r="380" ht="12.75" customHeight="1">
      <c r="A380" s="1">
        <v>369.0</v>
      </c>
      <c r="B380" s="408" t="str">
        <f t="shared" si="5"/>
        <v/>
      </c>
      <c r="C380" s="408">
        <f t="shared" si="6"/>
        <v>0</v>
      </c>
      <c r="D380" s="408" t="str">
        <f t="shared" si="7"/>
        <v/>
      </c>
      <c r="E380" s="176" t="str">
        <f t="shared" si="8"/>
        <v/>
      </c>
      <c r="F380" s="408" t="str">
        <f t="shared" si="11"/>
        <v/>
      </c>
      <c r="G380" s="408" t="str">
        <f t="shared" si="12"/>
        <v/>
      </c>
      <c r="H380" s="410">
        <f>IF(K380&gt;='Pro Forma Detail'!D$66,'Pro Forma Detail'!D$67,'Debt ReFi'!$B$5)</f>
        <v>0.0275</v>
      </c>
      <c r="I380" s="1" t="str">
        <f t="shared" si="1"/>
        <v/>
      </c>
      <c r="J380" s="406">
        <f t="shared" si="13"/>
        <v>56858</v>
      </c>
      <c r="K380" s="105">
        <f t="shared" si="9"/>
        <v>35</v>
      </c>
      <c r="L380" s="411" t="str">
        <f t="shared" si="10"/>
        <v/>
      </c>
      <c r="M380" s="407" t="str">
        <f t="shared" si="2"/>
        <v/>
      </c>
      <c r="N380" s="407">
        <f t="shared" si="3"/>
        <v>0</v>
      </c>
      <c r="O380" s="407" t="str">
        <f t="shared" si="4"/>
        <v/>
      </c>
      <c r="P380" s="1"/>
    </row>
    <row r="381" ht="12.75" customHeight="1">
      <c r="A381" s="1">
        <v>370.0</v>
      </c>
      <c r="B381" s="408" t="str">
        <f t="shared" si="5"/>
        <v/>
      </c>
      <c r="C381" s="408">
        <f t="shared" si="6"/>
        <v>0</v>
      </c>
      <c r="D381" s="408" t="str">
        <f t="shared" si="7"/>
        <v/>
      </c>
      <c r="E381" s="176" t="str">
        <f t="shared" si="8"/>
        <v/>
      </c>
      <c r="F381" s="408" t="str">
        <f t="shared" si="11"/>
        <v/>
      </c>
      <c r="G381" s="408" t="str">
        <f t="shared" si="12"/>
        <v/>
      </c>
      <c r="H381" s="410">
        <f>IF(K381&gt;='Pro Forma Detail'!D$66,'Pro Forma Detail'!D$67,'Debt ReFi'!$B$5)</f>
        <v>0.0275</v>
      </c>
      <c r="I381" s="1" t="str">
        <f t="shared" si="1"/>
        <v/>
      </c>
      <c r="J381" s="406">
        <f t="shared" si="13"/>
        <v>56888</v>
      </c>
      <c r="K381" s="105">
        <f t="shared" si="9"/>
        <v>35</v>
      </c>
      <c r="L381" s="411" t="str">
        <f t="shared" si="10"/>
        <v/>
      </c>
      <c r="M381" s="407" t="str">
        <f t="shared" si="2"/>
        <v/>
      </c>
      <c r="N381" s="407">
        <f t="shared" si="3"/>
        <v>0</v>
      </c>
      <c r="O381" s="407" t="str">
        <f t="shared" si="4"/>
        <v/>
      </c>
      <c r="P381" s="1"/>
    </row>
    <row r="382" ht="12.75" customHeight="1">
      <c r="A382" s="1">
        <v>371.0</v>
      </c>
      <c r="B382" s="408" t="str">
        <f t="shared" si="5"/>
        <v/>
      </c>
      <c r="C382" s="408">
        <f t="shared" si="6"/>
        <v>0</v>
      </c>
      <c r="D382" s="408" t="str">
        <f t="shared" si="7"/>
        <v/>
      </c>
      <c r="E382" s="176" t="str">
        <f t="shared" si="8"/>
        <v/>
      </c>
      <c r="F382" s="408" t="str">
        <f t="shared" si="11"/>
        <v/>
      </c>
      <c r="G382" s="408" t="str">
        <f t="shared" si="12"/>
        <v/>
      </c>
      <c r="H382" s="410">
        <f>IF(K382&gt;='Pro Forma Detail'!D$66,'Pro Forma Detail'!D$67,'Debt ReFi'!$B$5)</f>
        <v>0.0275</v>
      </c>
      <c r="I382" s="1" t="str">
        <f t="shared" si="1"/>
        <v/>
      </c>
      <c r="J382" s="406">
        <f t="shared" si="13"/>
        <v>56919</v>
      </c>
      <c r="K382" s="105">
        <f t="shared" si="9"/>
        <v>35</v>
      </c>
      <c r="L382" s="411" t="str">
        <f t="shared" si="10"/>
        <v/>
      </c>
      <c r="M382" s="407" t="str">
        <f t="shared" si="2"/>
        <v/>
      </c>
      <c r="N382" s="407">
        <f t="shared" si="3"/>
        <v>0</v>
      </c>
      <c r="O382" s="407" t="str">
        <f t="shared" si="4"/>
        <v/>
      </c>
      <c r="P382" s="1"/>
    </row>
    <row r="383" ht="12.75" customHeight="1">
      <c r="A383" s="1">
        <v>372.0</v>
      </c>
      <c r="B383" s="408" t="str">
        <f t="shared" si="5"/>
        <v/>
      </c>
      <c r="C383" s="408">
        <f t="shared" si="6"/>
        <v>0</v>
      </c>
      <c r="D383" s="408" t="str">
        <f t="shared" si="7"/>
        <v/>
      </c>
      <c r="E383" s="176" t="str">
        <f t="shared" si="8"/>
        <v/>
      </c>
      <c r="F383" s="408" t="str">
        <f t="shared" si="11"/>
        <v/>
      </c>
      <c r="G383" s="408" t="str">
        <f t="shared" si="12"/>
        <v/>
      </c>
      <c r="H383" s="410">
        <f>IF(K383&gt;='Pro Forma Detail'!D$66,'Pro Forma Detail'!D$67,'Debt ReFi'!$B$5)</f>
        <v>0.0275</v>
      </c>
      <c r="I383" s="1" t="str">
        <f t="shared" si="1"/>
        <v/>
      </c>
      <c r="J383" s="406">
        <f t="shared" si="13"/>
        <v>56949</v>
      </c>
      <c r="K383" s="105">
        <f t="shared" si="9"/>
        <v>35</v>
      </c>
      <c r="L383" s="411" t="str">
        <f t="shared" si="10"/>
        <v/>
      </c>
      <c r="M383" s="407" t="str">
        <f t="shared" si="2"/>
        <v/>
      </c>
      <c r="N383" s="407">
        <f t="shared" si="3"/>
        <v>0</v>
      </c>
      <c r="O383" s="407" t="str">
        <f t="shared" si="4"/>
        <v/>
      </c>
      <c r="P383" s="1"/>
    </row>
    <row r="384" ht="12.75" customHeight="1">
      <c r="A384" s="1">
        <v>373.0</v>
      </c>
      <c r="B384" s="408" t="str">
        <f t="shared" si="5"/>
        <v/>
      </c>
      <c r="C384" s="408">
        <f t="shared" si="6"/>
        <v>0</v>
      </c>
      <c r="D384" s="408" t="str">
        <f t="shared" si="7"/>
        <v/>
      </c>
      <c r="E384" s="176" t="str">
        <f t="shared" si="8"/>
        <v/>
      </c>
      <c r="F384" s="408" t="str">
        <f t="shared" si="11"/>
        <v/>
      </c>
      <c r="G384" s="408" t="str">
        <f t="shared" si="12"/>
        <v/>
      </c>
      <c r="H384" s="410">
        <f>IF(K384&gt;='Pro Forma Detail'!D$66,'Pro Forma Detail'!D$67,'Debt ReFi'!$B$5)</f>
        <v>0.0275</v>
      </c>
      <c r="I384" s="1" t="str">
        <f t="shared" si="1"/>
        <v/>
      </c>
      <c r="J384" s="406">
        <f t="shared" si="13"/>
        <v>56980</v>
      </c>
      <c r="K384" s="105">
        <f t="shared" si="9"/>
        <v>36</v>
      </c>
      <c r="L384" s="411" t="str">
        <f t="shared" si="10"/>
        <v/>
      </c>
      <c r="M384" s="407" t="str">
        <f t="shared" si="2"/>
        <v/>
      </c>
      <c r="N384" s="407">
        <f t="shared" si="3"/>
        <v>0</v>
      </c>
      <c r="O384" s="407" t="str">
        <f t="shared" si="4"/>
        <v/>
      </c>
      <c r="P384" s="1"/>
    </row>
    <row r="385" ht="12.75" customHeight="1">
      <c r="A385" s="1">
        <v>374.0</v>
      </c>
      <c r="B385" s="408" t="str">
        <f t="shared" si="5"/>
        <v/>
      </c>
      <c r="C385" s="408">
        <f t="shared" si="6"/>
        <v>0</v>
      </c>
      <c r="D385" s="408" t="str">
        <f t="shared" si="7"/>
        <v/>
      </c>
      <c r="E385" s="176" t="str">
        <f t="shared" si="8"/>
        <v/>
      </c>
      <c r="F385" s="408" t="str">
        <f t="shared" si="11"/>
        <v/>
      </c>
      <c r="G385" s="408" t="str">
        <f t="shared" si="12"/>
        <v/>
      </c>
      <c r="H385" s="410">
        <f>IF(K385&gt;='Pro Forma Detail'!D$66,'Pro Forma Detail'!D$67,'Debt ReFi'!$B$5)</f>
        <v>0.0275</v>
      </c>
      <c r="I385" s="1" t="str">
        <f t="shared" si="1"/>
        <v/>
      </c>
      <c r="J385" s="406">
        <f t="shared" si="13"/>
        <v>57011</v>
      </c>
      <c r="K385" s="105">
        <f t="shared" si="9"/>
        <v>36</v>
      </c>
      <c r="L385" s="411" t="str">
        <f t="shared" si="10"/>
        <v/>
      </c>
      <c r="M385" s="407" t="str">
        <f t="shared" si="2"/>
        <v/>
      </c>
      <c r="N385" s="407">
        <f t="shared" si="3"/>
        <v>0</v>
      </c>
      <c r="O385" s="407" t="str">
        <f t="shared" si="4"/>
        <v/>
      </c>
      <c r="P385" s="1"/>
    </row>
    <row r="386" ht="12.75" customHeight="1">
      <c r="A386" s="1">
        <v>375.0</v>
      </c>
      <c r="B386" s="408" t="str">
        <f t="shared" si="5"/>
        <v/>
      </c>
      <c r="C386" s="408">
        <f t="shared" si="6"/>
        <v>0</v>
      </c>
      <c r="D386" s="408" t="str">
        <f t="shared" si="7"/>
        <v/>
      </c>
      <c r="E386" s="176" t="str">
        <f t="shared" si="8"/>
        <v/>
      </c>
      <c r="F386" s="408" t="str">
        <f t="shared" si="11"/>
        <v/>
      </c>
      <c r="G386" s="408" t="str">
        <f t="shared" si="12"/>
        <v/>
      </c>
      <c r="H386" s="410">
        <f>IF(K386&gt;='Pro Forma Detail'!D$66,'Pro Forma Detail'!D$67,'Debt ReFi'!$B$5)</f>
        <v>0.0275</v>
      </c>
      <c r="I386" s="1" t="str">
        <f t="shared" si="1"/>
        <v/>
      </c>
      <c r="J386" s="406">
        <f t="shared" si="13"/>
        <v>57040</v>
      </c>
      <c r="K386" s="105">
        <f t="shared" si="9"/>
        <v>36</v>
      </c>
      <c r="L386" s="411" t="str">
        <f t="shared" si="10"/>
        <v/>
      </c>
      <c r="M386" s="407" t="str">
        <f t="shared" si="2"/>
        <v/>
      </c>
      <c r="N386" s="407">
        <f t="shared" si="3"/>
        <v>0</v>
      </c>
      <c r="O386" s="407" t="str">
        <f t="shared" si="4"/>
        <v/>
      </c>
      <c r="P386" s="1"/>
    </row>
    <row r="387" ht="12.75" customHeight="1">
      <c r="A387" s="1">
        <v>376.0</v>
      </c>
      <c r="B387" s="408" t="str">
        <f t="shared" si="5"/>
        <v/>
      </c>
      <c r="C387" s="408">
        <f t="shared" si="6"/>
        <v>0</v>
      </c>
      <c r="D387" s="408" t="str">
        <f t="shared" si="7"/>
        <v/>
      </c>
      <c r="E387" s="176" t="str">
        <f t="shared" si="8"/>
        <v/>
      </c>
      <c r="F387" s="408" t="str">
        <f t="shared" si="11"/>
        <v/>
      </c>
      <c r="G387" s="408" t="str">
        <f t="shared" si="12"/>
        <v/>
      </c>
      <c r="H387" s="410">
        <f>IF(K387&gt;='Pro Forma Detail'!D$66,'Pro Forma Detail'!D$67,'Debt ReFi'!$B$5)</f>
        <v>0.0275</v>
      </c>
      <c r="I387" s="1" t="str">
        <f t="shared" si="1"/>
        <v/>
      </c>
      <c r="J387" s="406">
        <f t="shared" si="13"/>
        <v>57071</v>
      </c>
      <c r="K387" s="105">
        <f t="shared" si="9"/>
        <v>36</v>
      </c>
      <c r="L387" s="411" t="str">
        <f t="shared" si="10"/>
        <v/>
      </c>
      <c r="M387" s="407" t="str">
        <f t="shared" si="2"/>
        <v/>
      </c>
      <c r="N387" s="407">
        <f t="shared" si="3"/>
        <v>0</v>
      </c>
      <c r="O387" s="407" t="str">
        <f t="shared" si="4"/>
        <v/>
      </c>
      <c r="P387" s="1"/>
    </row>
    <row r="388" ht="12.75" customHeight="1">
      <c r="A388" s="1">
        <v>377.0</v>
      </c>
      <c r="B388" s="408" t="str">
        <f t="shared" si="5"/>
        <v/>
      </c>
      <c r="C388" s="408">
        <f t="shared" si="6"/>
        <v>0</v>
      </c>
      <c r="D388" s="408" t="str">
        <f t="shared" si="7"/>
        <v/>
      </c>
      <c r="E388" s="176" t="str">
        <f t="shared" si="8"/>
        <v/>
      </c>
      <c r="F388" s="408" t="str">
        <f t="shared" si="11"/>
        <v/>
      </c>
      <c r="G388" s="408" t="str">
        <f t="shared" si="12"/>
        <v/>
      </c>
      <c r="H388" s="410">
        <f>IF(K388&gt;='Pro Forma Detail'!D$66,'Pro Forma Detail'!D$67,'Debt ReFi'!$B$5)</f>
        <v>0.0275</v>
      </c>
      <c r="I388" s="1" t="str">
        <f t="shared" si="1"/>
        <v/>
      </c>
      <c r="J388" s="406">
        <f t="shared" si="13"/>
        <v>57101</v>
      </c>
      <c r="K388" s="105">
        <f t="shared" si="9"/>
        <v>36</v>
      </c>
      <c r="L388" s="411" t="str">
        <f t="shared" si="10"/>
        <v/>
      </c>
      <c r="M388" s="407" t="str">
        <f t="shared" si="2"/>
        <v/>
      </c>
      <c r="N388" s="407">
        <f t="shared" si="3"/>
        <v>0</v>
      </c>
      <c r="O388" s="407" t="str">
        <f t="shared" si="4"/>
        <v/>
      </c>
      <c r="P388" s="1"/>
    </row>
    <row r="389" ht="12.75" customHeight="1">
      <c r="A389" s="1">
        <v>378.0</v>
      </c>
      <c r="B389" s="408" t="str">
        <f t="shared" si="5"/>
        <v/>
      </c>
      <c r="C389" s="408">
        <f t="shared" si="6"/>
        <v>0</v>
      </c>
      <c r="D389" s="408" t="str">
        <f t="shared" si="7"/>
        <v/>
      </c>
      <c r="E389" s="176" t="str">
        <f t="shared" si="8"/>
        <v/>
      </c>
      <c r="F389" s="408" t="str">
        <f t="shared" si="11"/>
        <v/>
      </c>
      <c r="G389" s="408" t="str">
        <f t="shared" si="12"/>
        <v/>
      </c>
      <c r="H389" s="410">
        <f>IF(K389&gt;='Pro Forma Detail'!D$66,'Pro Forma Detail'!D$67,'Debt ReFi'!$B$5)</f>
        <v>0.0275</v>
      </c>
      <c r="I389" s="1" t="str">
        <f t="shared" si="1"/>
        <v/>
      </c>
      <c r="J389" s="406">
        <f t="shared" si="13"/>
        <v>57132</v>
      </c>
      <c r="K389" s="105">
        <f t="shared" si="9"/>
        <v>36</v>
      </c>
      <c r="L389" s="411" t="str">
        <f t="shared" si="10"/>
        <v/>
      </c>
      <c r="M389" s="407" t="str">
        <f t="shared" si="2"/>
        <v/>
      </c>
      <c r="N389" s="407">
        <f t="shared" si="3"/>
        <v>0</v>
      </c>
      <c r="O389" s="407" t="str">
        <f t="shared" si="4"/>
        <v/>
      </c>
      <c r="P389" s="1"/>
    </row>
    <row r="390" ht="12.75" customHeight="1">
      <c r="A390" s="1">
        <v>379.0</v>
      </c>
      <c r="B390" s="408" t="str">
        <f t="shared" si="5"/>
        <v/>
      </c>
      <c r="C390" s="408">
        <f t="shared" si="6"/>
        <v>0</v>
      </c>
      <c r="D390" s="408" t="str">
        <f t="shared" si="7"/>
        <v/>
      </c>
      <c r="E390" s="176" t="str">
        <f t="shared" si="8"/>
        <v/>
      </c>
      <c r="F390" s="408" t="str">
        <f t="shared" si="11"/>
        <v/>
      </c>
      <c r="G390" s="408" t="str">
        <f t="shared" si="12"/>
        <v/>
      </c>
      <c r="H390" s="410">
        <f>IF(K390&gt;='Pro Forma Detail'!D$66,'Pro Forma Detail'!D$67,'Debt ReFi'!$B$5)</f>
        <v>0.0275</v>
      </c>
      <c r="I390" s="1" t="str">
        <f t="shared" si="1"/>
        <v/>
      </c>
      <c r="J390" s="406">
        <f t="shared" si="13"/>
        <v>57162</v>
      </c>
      <c r="K390" s="105">
        <f t="shared" si="9"/>
        <v>36</v>
      </c>
      <c r="L390" s="411" t="str">
        <f t="shared" si="10"/>
        <v/>
      </c>
      <c r="M390" s="407" t="str">
        <f t="shared" si="2"/>
        <v/>
      </c>
      <c r="N390" s="407">
        <f t="shared" si="3"/>
        <v>0</v>
      </c>
      <c r="O390" s="407" t="str">
        <f t="shared" si="4"/>
        <v/>
      </c>
      <c r="P390" s="1"/>
    </row>
    <row r="391" ht="12.75" customHeight="1">
      <c r="A391" s="1">
        <v>380.0</v>
      </c>
      <c r="B391" s="408" t="str">
        <f t="shared" si="5"/>
        <v/>
      </c>
      <c r="C391" s="408">
        <f t="shared" si="6"/>
        <v>0</v>
      </c>
      <c r="D391" s="408" t="str">
        <f t="shared" si="7"/>
        <v/>
      </c>
      <c r="E391" s="176" t="str">
        <f t="shared" si="8"/>
        <v/>
      </c>
      <c r="F391" s="408" t="str">
        <f t="shared" si="11"/>
        <v/>
      </c>
      <c r="G391" s="408" t="str">
        <f t="shared" si="12"/>
        <v/>
      </c>
      <c r="H391" s="410">
        <f>IF(K391&gt;='Pro Forma Detail'!D$66,'Pro Forma Detail'!D$67,'Debt ReFi'!$B$5)</f>
        <v>0.0275</v>
      </c>
      <c r="I391" s="1" t="str">
        <f t="shared" si="1"/>
        <v/>
      </c>
      <c r="J391" s="406">
        <f t="shared" si="13"/>
        <v>57193</v>
      </c>
      <c r="K391" s="105">
        <f t="shared" si="9"/>
        <v>36</v>
      </c>
      <c r="L391" s="411" t="str">
        <f t="shared" si="10"/>
        <v/>
      </c>
      <c r="M391" s="407" t="str">
        <f t="shared" si="2"/>
        <v/>
      </c>
      <c r="N391" s="407">
        <f t="shared" si="3"/>
        <v>0</v>
      </c>
      <c r="O391" s="407" t="str">
        <f t="shared" si="4"/>
        <v/>
      </c>
      <c r="P391" s="1"/>
    </row>
    <row r="392" ht="12.75" customHeight="1">
      <c r="A392" s="1">
        <v>381.0</v>
      </c>
      <c r="B392" s="408" t="str">
        <f t="shared" si="5"/>
        <v/>
      </c>
      <c r="C392" s="408">
        <f t="shared" si="6"/>
        <v>0</v>
      </c>
      <c r="D392" s="408" t="str">
        <f t="shared" si="7"/>
        <v/>
      </c>
      <c r="E392" s="176" t="str">
        <f t="shared" si="8"/>
        <v/>
      </c>
      <c r="F392" s="408" t="str">
        <f t="shared" si="11"/>
        <v/>
      </c>
      <c r="G392" s="408" t="str">
        <f t="shared" si="12"/>
        <v/>
      </c>
      <c r="H392" s="410">
        <f>IF(K392&gt;='Pro Forma Detail'!D$66,'Pro Forma Detail'!D$67,'Debt ReFi'!$B$5)</f>
        <v>0.0275</v>
      </c>
      <c r="I392" s="1" t="str">
        <f t="shared" si="1"/>
        <v/>
      </c>
      <c r="J392" s="406">
        <f t="shared" si="13"/>
        <v>57224</v>
      </c>
      <c r="K392" s="105">
        <f t="shared" si="9"/>
        <v>36</v>
      </c>
      <c r="L392" s="411" t="str">
        <f t="shared" si="10"/>
        <v/>
      </c>
      <c r="M392" s="407" t="str">
        <f t="shared" si="2"/>
        <v/>
      </c>
      <c r="N392" s="407">
        <f t="shared" si="3"/>
        <v>0</v>
      </c>
      <c r="O392" s="407" t="str">
        <f t="shared" si="4"/>
        <v/>
      </c>
      <c r="P392" s="1"/>
    </row>
    <row r="393" ht="12.75" customHeight="1">
      <c r="A393" s="1">
        <v>382.0</v>
      </c>
      <c r="B393" s="408" t="str">
        <f t="shared" si="5"/>
        <v/>
      </c>
      <c r="C393" s="408">
        <f t="shared" si="6"/>
        <v>0</v>
      </c>
      <c r="D393" s="408" t="str">
        <f t="shared" si="7"/>
        <v/>
      </c>
      <c r="E393" s="176" t="str">
        <f t="shared" si="8"/>
        <v/>
      </c>
      <c r="F393" s="408" t="str">
        <f t="shared" si="11"/>
        <v/>
      </c>
      <c r="G393" s="408" t="str">
        <f t="shared" si="12"/>
        <v/>
      </c>
      <c r="H393" s="410">
        <f>IF(K393&gt;='Pro Forma Detail'!D$66,'Pro Forma Detail'!D$67,'Debt ReFi'!$B$5)</f>
        <v>0.0275</v>
      </c>
      <c r="I393" s="1" t="str">
        <f t="shared" si="1"/>
        <v/>
      </c>
      <c r="J393" s="406">
        <f t="shared" si="13"/>
        <v>57254</v>
      </c>
      <c r="K393" s="105">
        <f t="shared" si="9"/>
        <v>36</v>
      </c>
      <c r="L393" s="411" t="str">
        <f t="shared" si="10"/>
        <v/>
      </c>
      <c r="M393" s="407" t="str">
        <f t="shared" si="2"/>
        <v/>
      </c>
      <c r="N393" s="407">
        <f t="shared" si="3"/>
        <v>0</v>
      </c>
      <c r="O393" s="407" t="str">
        <f t="shared" si="4"/>
        <v/>
      </c>
      <c r="P393" s="1"/>
    </row>
    <row r="394" ht="12.75" customHeight="1">
      <c r="A394" s="1">
        <v>383.0</v>
      </c>
      <c r="B394" s="408" t="str">
        <f t="shared" si="5"/>
        <v/>
      </c>
      <c r="C394" s="408">
        <f t="shared" si="6"/>
        <v>0</v>
      </c>
      <c r="D394" s="408" t="str">
        <f t="shared" si="7"/>
        <v/>
      </c>
      <c r="E394" s="176" t="str">
        <f t="shared" si="8"/>
        <v/>
      </c>
      <c r="F394" s="408" t="str">
        <f t="shared" si="11"/>
        <v/>
      </c>
      <c r="G394" s="408" t="str">
        <f t="shared" si="12"/>
        <v/>
      </c>
      <c r="H394" s="410">
        <f>IF(K394&gt;='Pro Forma Detail'!D$66,'Pro Forma Detail'!D$67,'Debt ReFi'!$B$5)</f>
        <v>0.0275</v>
      </c>
      <c r="I394" s="1" t="str">
        <f t="shared" si="1"/>
        <v/>
      </c>
      <c r="J394" s="406">
        <f t="shared" si="13"/>
        <v>57285</v>
      </c>
      <c r="K394" s="105">
        <f t="shared" si="9"/>
        <v>36</v>
      </c>
      <c r="L394" s="411" t="str">
        <f t="shared" si="10"/>
        <v/>
      </c>
      <c r="M394" s="407" t="str">
        <f t="shared" si="2"/>
        <v/>
      </c>
      <c r="N394" s="407">
        <f t="shared" si="3"/>
        <v>0</v>
      </c>
      <c r="O394" s="407" t="str">
        <f t="shared" si="4"/>
        <v/>
      </c>
      <c r="P394" s="1"/>
    </row>
    <row r="395" ht="12.75" customHeight="1">
      <c r="A395" s="1">
        <v>384.0</v>
      </c>
      <c r="B395" s="408" t="str">
        <f t="shared" si="5"/>
        <v/>
      </c>
      <c r="C395" s="408">
        <f t="shared" si="6"/>
        <v>0</v>
      </c>
      <c r="D395" s="408" t="str">
        <f t="shared" si="7"/>
        <v/>
      </c>
      <c r="E395" s="176" t="str">
        <f t="shared" si="8"/>
        <v/>
      </c>
      <c r="F395" s="408" t="str">
        <f t="shared" si="11"/>
        <v/>
      </c>
      <c r="G395" s="408" t="str">
        <f t="shared" si="12"/>
        <v/>
      </c>
      <c r="H395" s="410">
        <f>IF(K395&gt;='Pro Forma Detail'!D$66,'Pro Forma Detail'!D$67,'Debt ReFi'!$B$5)</f>
        <v>0.0275</v>
      </c>
      <c r="I395" s="1" t="str">
        <f t="shared" si="1"/>
        <v/>
      </c>
      <c r="J395" s="406">
        <f t="shared" si="13"/>
        <v>57315</v>
      </c>
      <c r="K395" s="105">
        <f t="shared" si="9"/>
        <v>36</v>
      </c>
      <c r="L395" s="411" t="str">
        <f t="shared" si="10"/>
        <v/>
      </c>
      <c r="M395" s="407" t="str">
        <f t="shared" si="2"/>
        <v/>
      </c>
      <c r="N395" s="407">
        <f t="shared" si="3"/>
        <v>0</v>
      </c>
      <c r="O395" s="407" t="str">
        <f t="shared" si="4"/>
        <v/>
      </c>
      <c r="P395" s="1"/>
    </row>
    <row r="396" ht="12.75" customHeight="1">
      <c r="A396" s="1">
        <v>385.0</v>
      </c>
      <c r="B396" s="408" t="str">
        <f t="shared" si="5"/>
        <v/>
      </c>
      <c r="C396" s="408">
        <f t="shared" si="6"/>
        <v>0</v>
      </c>
      <c r="D396" s="408" t="str">
        <f t="shared" si="7"/>
        <v/>
      </c>
      <c r="E396" s="176" t="str">
        <f t="shared" si="8"/>
        <v/>
      </c>
      <c r="F396" s="408" t="str">
        <f t="shared" si="11"/>
        <v/>
      </c>
      <c r="G396" s="408" t="str">
        <f t="shared" si="12"/>
        <v/>
      </c>
      <c r="H396" s="410">
        <f>IF(K396&gt;='Pro Forma Detail'!D$66,'Pro Forma Detail'!D$67,'Debt ReFi'!$B$5)</f>
        <v>0.0275</v>
      </c>
      <c r="I396" s="1" t="str">
        <f t="shared" si="1"/>
        <v/>
      </c>
      <c r="J396" s="406">
        <f t="shared" si="13"/>
        <v>57346</v>
      </c>
      <c r="K396" s="105">
        <f t="shared" si="9"/>
        <v>37</v>
      </c>
      <c r="L396" s="411" t="str">
        <f t="shared" si="10"/>
        <v/>
      </c>
      <c r="M396" s="407" t="str">
        <f t="shared" si="2"/>
        <v/>
      </c>
      <c r="N396" s="407">
        <f t="shared" si="3"/>
        <v>0</v>
      </c>
      <c r="O396" s="407" t="str">
        <f t="shared" si="4"/>
        <v/>
      </c>
      <c r="P396" s="1"/>
    </row>
    <row r="397" ht="12.75" customHeight="1">
      <c r="A397" s="1">
        <v>386.0</v>
      </c>
      <c r="B397" s="408" t="str">
        <f t="shared" si="5"/>
        <v/>
      </c>
      <c r="C397" s="408">
        <f t="shared" si="6"/>
        <v>0</v>
      </c>
      <c r="D397" s="408" t="str">
        <f t="shared" si="7"/>
        <v/>
      </c>
      <c r="E397" s="176" t="str">
        <f t="shared" si="8"/>
        <v/>
      </c>
      <c r="F397" s="408" t="str">
        <f t="shared" si="11"/>
        <v/>
      </c>
      <c r="G397" s="408" t="str">
        <f t="shared" si="12"/>
        <v/>
      </c>
      <c r="H397" s="410">
        <f>IF(K397&gt;='Pro Forma Detail'!D$66,'Pro Forma Detail'!D$67,'Debt ReFi'!$B$5)</f>
        <v>0.0275</v>
      </c>
      <c r="I397" s="1" t="str">
        <f t="shared" si="1"/>
        <v/>
      </c>
      <c r="J397" s="406">
        <f t="shared" si="13"/>
        <v>57377</v>
      </c>
      <c r="K397" s="105">
        <f t="shared" si="9"/>
        <v>37</v>
      </c>
      <c r="L397" s="411" t="str">
        <f t="shared" si="10"/>
        <v/>
      </c>
      <c r="M397" s="407" t="str">
        <f t="shared" si="2"/>
        <v/>
      </c>
      <c r="N397" s="407">
        <f t="shared" si="3"/>
        <v>0</v>
      </c>
      <c r="O397" s="407" t="str">
        <f t="shared" si="4"/>
        <v/>
      </c>
      <c r="P397" s="1"/>
    </row>
    <row r="398" ht="12.75" customHeight="1">
      <c r="A398" s="1">
        <v>387.0</v>
      </c>
      <c r="B398" s="408" t="str">
        <f t="shared" si="5"/>
        <v/>
      </c>
      <c r="C398" s="408">
        <f t="shared" si="6"/>
        <v>0</v>
      </c>
      <c r="D398" s="408" t="str">
        <f t="shared" si="7"/>
        <v/>
      </c>
      <c r="E398" s="176" t="str">
        <f t="shared" si="8"/>
        <v/>
      </c>
      <c r="F398" s="408" t="str">
        <f t="shared" si="11"/>
        <v/>
      </c>
      <c r="G398" s="408" t="str">
        <f t="shared" si="12"/>
        <v/>
      </c>
      <c r="H398" s="410">
        <f>IF(K398&gt;='Pro Forma Detail'!D$66,'Pro Forma Detail'!D$67,'Debt ReFi'!$B$5)</f>
        <v>0.0275</v>
      </c>
      <c r="I398" s="1" t="str">
        <f t="shared" si="1"/>
        <v/>
      </c>
      <c r="J398" s="406">
        <f t="shared" si="13"/>
        <v>57405</v>
      </c>
      <c r="K398" s="105">
        <f t="shared" si="9"/>
        <v>37</v>
      </c>
      <c r="L398" s="411" t="str">
        <f t="shared" si="10"/>
        <v/>
      </c>
      <c r="M398" s="407" t="str">
        <f t="shared" si="2"/>
        <v/>
      </c>
      <c r="N398" s="407">
        <f t="shared" si="3"/>
        <v>0</v>
      </c>
      <c r="O398" s="407" t="str">
        <f t="shared" si="4"/>
        <v/>
      </c>
      <c r="P398" s="1"/>
    </row>
    <row r="399" ht="12.75" customHeight="1">
      <c r="A399" s="1">
        <v>388.0</v>
      </c>
      <c r="B399" s="408" t="str">
        <f t="shared" si="5"/>
        <v/>
      </c>
      <c r="C399" s="408">
        <f t="shared" si="6"/>
        <v>0</v>
      </c>
      <c r="D399" s="408" t="str">
        <f t="shared" si="7"/>
        <v/>
      </c>
      <c r="E399" s="176" t="str">
        <f t="shared" si="8"/>
        <v/>
      </c>
      <c r="F399" s="408" t="str">
        <f t="shared" si="11"/>
        <v/>
      </c>
      <c r="G399" s="408" t="str">
        <f t="shared" si="12"/>
        <v/>
      </c>
      <c r="H399" s="410">
        <f>IF(K399&gt;='Pro Forma Detail'!D$66,'Pro Forma Detail'!D$67,'Debt ReFi'!$B$5)</f>
        <v>0.0275</v>
      </c>
      <c r="I399" s="1" t="str">
        <f t="shared" si="1"/>
        <v/>
      </c>
      <c r="J399" s="406">
        <f t="shared" si="13"/>
        <v>57436</v>
      </c>
      <c r="K399" s="105">
        <f t="shared" si="9"/>
        <v>37</v>
      </c>
      <c r="L399" s="411" t="str">
        <f t="shared" si="10"/>
        <v/>
      </c>
      <c r="M399" s="407" t="str">
        <f t="shared" si="2"/>
        <v/>
      </c>
      <c r="N399" s="407">
        <f t="shared" si="3"/>
        <v>0</v>
      </c>
      <c r="O399" s="407" t="str">
        <f t="shared" si="4"/>
        <v/>
      </c>
      <c r="P399" s="1"/>
    </row>
    <row r="400" ht="12.75" customHeight="1">
      <c r="A400" s="1">
        <v>389.0</v>
      </c>
      <c r="B400" s="408" t="str">
        <f t="shared" si="5"/>
        <v/>
      </c>
      <c r="C400" s="408">
        <f t="shared" si="6"/>
        <v>0</v>
      </c>
      <c r="D400" s="408" t="str">
        <f t="shared" si="7"/>
        <v/>
      </c>
      <c r="E400" s="176" t="str">
        <f t="shared" si="8"/>
        <v/>
      </c>
      <c r="F400" s="408" t="str">
        <f t="shared" si="11"/>
        <v/>
      </c>
      <c r="G400" s="408" t="str">
        <f t="shared" si="12"/>
        <v/>
      </c>
      <c r="H400" s="410">
        <f>IF(K400&gt;='Pro Forma Detail'!D$66,'Pro Forma Detail'!D$67,'Debt ReFi'!$B$5)</f>
        <v>0.0275</v>
      </c>
      <c r="I400" s="1" t="str">
        <f t="shared" si="1"/>
        <v/>
      </c>
      <c r="J400" s="406">
        <f t="shared" si="13"/>
        <v>57466</v>
      </c>
      <c r="K400" s="105">
        <f t="shared" si="9"/>
        <v>37</v>
      </c>
      <c r="L400" s="411" t="str">
        <f t="shared" si="10"/>
        <v/>
      </c>
      <c r="M400" s="407" t="str">
        <f t="shared" si="2"/>
        <v/>
      </c>
      <c r="N400" s="407">
        <f t="shared" si="3"/>
        <v>0</v>
      </c>
      <c r="O400" s="407" t="str">
        <f t="shared" si="4"/>
        <v/>
      </c>
      <c r="P400" s="1"/>
    </row>
    <row r="401" ht="12.75" customHeight="1">
      <c r="A401" s="1">
        <v>390.0</v>
      </c>
      <c r="B401" s="408" t="str">
        <f t="shared" si="5"/>
        <v/>
      </c>
      <c r="C401" s="408">
        <f t="shared" si="6"/>
        <v>0</v>
      </c>
      <c r="D401" s="408" t="str">
        <f t="shared" si="7"/>
        <v/>
      </c>
      <c r="E401" s="176" t="str">
        <f t="shared" si="8"/>
        <v/>
      </c>
      <c r="F401" s="408" t="str">
        <f t="shared" si="11"/>
        <v/>
      </c>
      <c r="G401" s="408" t="str">
        <f t="shared" si="12"/>
        <v/>
      </c>
      <c r="H401" s="410">
        <f>IF(K401&gt;='Pro Forma Detail'!D$66,'Pro Forma Detail'!D$67,'Debt ReFi'!$B$5)</f>
        <v>0.0275</v>
      </c>
      <c r="I401" s="1" t="str">
        <f t="shared" si="1"/>
        <v/>
      </c>
      <c r="J401" s="406">
        <f t="shared" si="13"/>
        <v>57497</v>
      </c>
      <c r="K401" s="105">
        <f t="shared" si="9"/>
        <v>37</v>
      </c>
      <c r="L401" s="411" t="str">
        <f t="shared" si="10"/>
        <v/>
      </c>
      <c r="M401" s="407" t="str">
        <f t="shared" si="2"/>
        <v/>
      </c>
      <c r="N401" s="407">
        <f t="shared" si="3"/>
        <v>0</v>
      </c>
      <c r="O401" s="407" t="str">
        <f t="shared" si="4"/>
        <v/>
      </c>
      <c r="P401" s="1"/>
    </row>
    <row r="402" ht="12.75" customHeight="1">
      <c r="A402" s="1">
        <v>391.0</v>
      </c>
      <c r="B402" s="408" t="str">
        <f t="shared" si="5"/>
        <v/>
      </c>
      <c r="C402" s="408">
        <f t="shared" si="6"/>
        <v>0</v>
      </c>
      <c r="D402" s="408" t="str">
        <f t="shared" si="7"/>
        <v/>
      </c>
      <c r="E402" s="176" t="str">
        <f t="shared" si="8"/>
        <v/>
      </c>
      <c r="F402" s="408" t="str">
        <f t="shared" si="11"/>
        <v/>
      </c>
      <c r="G402" s="408" t="str">
        <f t="shared" si="12"/>
        <v/>
      </c>
      <c r="H402" s="410">
        <f>IF(K402&gt;='Pro Forma Detail'!D$66,'Pro Forma Detail'!D$67,'Debt ReFi'!$B$5)</f>
        <v>0.0275</v>
      </c>
      <c r="I402" s="1" t="str">
        <f t="shared" si="1"/>
        <v/>
      </c>
      <c r="J402" s="406">
        <f t="shared" si="13"/>
        <v>57527</v>
      </c>
      <c r="K402" s="105">
        <f t="shared" si="9"/>
        <v>37</v>
      </c>
      <c r="L402" s="411" t="str">
        <f t="shared" si="10"/>
        <v/>
      </c>
      <c r="M402" s="407" t="str">
        <f t="shared" si="2"/>
        <v/>
      </c>
      <c r="N402" s="407">
        <f t="shared" si="3"/>
        <v>0</v>
      </c>
      <c r="O402" s="407" t="str">
        <f t="shared" si="4"/>
        <v/>
      </c>
      <c r="P402" s="1"/>
    </row>
    <row r="403" ht="12.75" customHeight="1">
      <c r="A403" s="1">
        <v>392.0</v>
      </c>
      <c r="B403" s="408" t="str">
        <f t="shared" si="5"/>
        <v/>
      </c>
      <c r="C403" s="408">
        <f t="shared" si="6"/>
        <v>0</v>
      </c>
      <c r="D403" s="408" t="str">
        <f t="shared" si="7"/>
        <v/>
      </c>
      <c r="E403" s="176" t="str">
        <f t="shared" si="8"/>
        <v/>
      </c>
      <c r="F403" s="408" t="str">
        <f t="shared" si="11"/>
        <v/>
      </c>
      <c r="G403" s="408" t="str">
        <f t="shared" si="12"/>
        <v/>
      </c>
      <c r="H403" s="410">
        <f>IF(K403&gt;='Pro Forma Detail'!D$66,'Pro Forma Detail'!D$67,'Debt ReFi'!$B$5)</f>
        <v>0.0275</v>
      </c>
      <c r="I403" s="1" t="str">
        <f t="shared" si="1"/>
        <v/>
      </c>
      <c r="J403" s="406">
        <f t="shared" si="13"/>
        <v>57558</v>
      </c>
      <c r="K403" s="105">
        <f t="shared" si="9"/>
        <v>37</v>
      </c>
      <c r="L403" s="411" t="str">
        <f t="shared" si="10"/>
        <v/>
      </c>
      <c r="M403" s="407" t="str">
        <f t="shared" si="2"/>
        <v/>
      </c>
      <c r="N403" s="407">
        <f t="shared" si="3"/>
        <v>0</v>
      </c>
      <c r="O403" s="407" t="str">
        <f t="shared" si="4"/>
        <v/>
      </c>
      <c r="P403" s="1"/>
    </row>
    <row r="404" ht="12.75" customHeight="1">
      <c r="A404" s="1">
        <v>393.0</v>
      </c>
      <c r="B404" s="408" t="str">
        <f t="shared" si="5"/>
        <v/>
      </c>
      <c r="C404" s="408">
        <f t="shared" si="6"/>
        <v>0</v>
      </c>
      <c r="D404" s="408" t="str">
        <f t="shared" si="7"/>
        <v/>
      </c>
      <c r="E404" s="176" t="str">
        <f t="shared" si="8"/>
        <v/>
      </c>
      <c r="F404" s="408" t="str">
        <f t="shared" si="11"/>
        <v/>
      </c>
      <c r="G404" s="408" t="str">
        <f t="shared" si="12"/>
        <v/>
      </c>
      <c r="H404" s="410">
        <f>IF(K404&gt;='Pro Forma Detail'!D$66,'Pro Forma Detail'!D$67,'Debt ReFi'!$B$5)</f>
        <v>0.0275</v>
      </c>
      <c r="I404" s="1" t="str">
        <f t="shared" si="1"/>
        <v/>
      </c>
      <c r="J404" s="406">
        <f t="shared" si="13"/>
        <v>57589</v>
      </c>
      <c r="K404" s="105">
        <f t="shared" si="9"/>
        <v>37</v>
      </c>
      <c r="L404" s="411" t="str">
        <f t="shared" si="10"/>
        <v/>
      </c>
      <c r="M404" s="407" t="str">
        <f t="shared" si="2"/>
        <v/>
      </c>
      <c r="N404" s="407">
        <f t="shared" si="3"/>
        <v>0</v>
      </c>
      <c r="O404" s="407" t="str">
        <f t="shared" si="4"/>
        <v/>
      </c>
      <c r="P404" s="1"/>
    </row>
    <row r="405" ht="12.75" customHeight="1">
      <c r="A405" s="1">
        <v>394.0</v>
      </c>
      <c r="B405" s="408" t="str">
        <f t="shared" si="5"/>
        <v/>
      </c>
      <c r="C405" s="408">
        <f t="shared" si="6"/>
        <v>0</v>
      </c>
      <c r="D405" s="408" t="str">
        <f t="shared" si="7"/>
        <v/>
      </c>
      <c r="E405" s="176" t="str">
        <f t="shared" si="8"/>
        <v/>
      </c>
      <c r="F405" s="408" t="str">
        <f t="shared" si="11"/>
        <v/>
      </c>
      <c r="G405" s="408" t="str">
        <f t="shared" si="12"/>
        <v/>
      </c>
      <c r="H405" s="410">
        <f>IF(K405&gt;='Pro Forma Detail'!D$66,'Pro Forma Detail'!D$67,'Debt ReFi'!$B$5)</f>
        <v>0.0275</v>
      </c>
      <c r="I405" s="1" t="str">
        <f t="shared" si="1"/>
        <v/>
      </c>
      <c r="J405" s="406">
        <f t="shared" si="13"/>
        <v>57619</v>
      </c>
      <c r="K405" s="105">
        <f t="shared" si="9"/>
        <v>37</v>
      </c>
      <c r="L405" s="411" t="str">
        <f t="shared" si="10"/>
        <v/>
      </c>
      <c r="M405" s="407" t="str">
        <f t="shared" si="2"/>
        <v/>
      </c>
      <c r="N405" s="407">
        <f t="shared" si="3"/>
        <v>0</v>
      </c>
      <c r="O405" s="407" t="str">
        <f t="shared" si="4"/>
        <v/>
      </c>
      <c r="P405" s="1"/>
    </row>
    <row r="406" ht="12.75" customHeight="1">
      <c r="A406" s="1">
        <v>395.0</v>
      </c>
      <c r="B406" s="408" t="str">
        <f t="shared" si="5"/>
        <v/>
      </c>
      <c r="C406" s="408">
        <f t="shared" si="6"/>
        <v>0</v>
      </c>
      <c r="D406" s="408" t="str">
        <f t="shared" si="7"/>
        <v/>
      </c>
      <c r="E406" s="176" t="str">
        <f t="shared" si="8"/>
        <v/>
      </c>
      <c r="F406" s="408" t="str">
        <f t="shared" si="11"/>
        <v/>
      </c>
      <c r="G406" s="408" t="str">
        <f t="shared" si="12"/>
        <v/>
      </c>
      <c r="H406" s="410">
        <f>IF(K406&gt;='Pro Forma Detail'!D$66,'Pro Forma Detail'!D$67,'Debt ReFi'!$B$5)</f>
        <v>0.0275</v>
      </c>
      <c r="I406" s="1" t="str">
        <f t="shared" si="1"/>
        <v/>
      </c>
      <c r="J406" s="406">
        <f t="shared" si="13"/>
        <v>57650</v>
      </c>
      <c r="K406" s="105">
        <f t="shared" si="9"/>
        <v>37</v>
      </c>
      <c r="L406" s="411" t="str">
        <f t="shared" si="10"/>
        <v/>
      </c>
      <c r="M406" s="407" t="str">
        <f t="shared" si="2"/>
        <v/>
      </c>
      <c r="N406" s="407">
        <f t="shared" si="3"/>
        <v>0</v>
      </c>
      <c r="O406" s="407" t="str">
        <f t="shared" si="4"/>
        <v/>
      </c>
      <c r="P406" s="1"/>
    </row>
    <row r="407" ht="12.75" customHeight="1">
      <c r="A407" s="1">
        <v>396.0</v>
      </c>
      <c r="B407" s="408" t="str">
        <f t="shared" si="5"/>
        <v/>
      </c>
      <c r="C407" s="408">
        <f t="shared" si="6"/>
        <v>0</v>
      </c>
      <c r="D407" s="408" t="str">
        <f t="shared" si="7"/>
        <v/>
      </c>
      <c r="E407" s="176" t="str">
        <f t="shared" si="8"/>
        <v/>
      </c>
      <c r="F407" s="408" t="str">
        <f t="shared" si="11"/>
        <v/>
      </c>
      <c r="G407" s="408" t="str">
        <f t="shared" si="12"/>
        <v/>
      </c>
      <c r="H407" s="410">
        <f>IF(K407&gt;='Pro Forma Detail'!D$66,'Pro Forma Detail'!D$67,'Debt ReFi'!$B$5)</f>
        <v>0.0275</v>
      </c>
      <c r="I407" s="1" t="str">
        <f t="shared" si="1"/>
        <v/>
      </c>
      <c r="J407" s="406">
        <f t="shared" si="13"/>
        <v>57680</v>
      </c>
      <c r="K407" s="105">
        <f t="shared" si="9"/>
        <v>37</v>
      </c>
      <c r="L407" s="411" t="str">
        <f t="shared" si="10"/>
        <v/>
      </c>
      <c r="M407" s="407" t="str">
        <f t="shared" si="2"/>
        <v/>
      </c>
      <c r="N407" s="407">
        <f t="shared" si="3"/>
        <v>0</v>
      </c>
      <c r="O407" s="407" t="str">
        <f t="shared" si="4"/>
        <v/>
      </c>
      <c r="P407" s="1"/>
    </row>
    <row r="408" ht="12.75" customHeight="1">
      <c r="A408" s="1">
        <v>397.0</v>
      </c>
      <c r="B408" s="408" t="str">
        <f t="shared" si="5"/>
        <v/>
      </c>
      <c r="C408" s="408">
        <f t="shared" si="6"/>
        <v>0</v>
      </c>
      <c r="D408" s="408" t="str">
        <f t="shared" si="7"/>
        <v/>
      </c>
      <c r="E408" s="176" t="str">
        <f t="shared" si="8"/>
        <v/>
      </c>
      <c r="F408" s="408" t="str">
        <f t="shared" si="11"/>
        <v/>
      </c>
      <c r="G408" s="408" t="str">
        <f t="shared" si="12"/>
        <v/>
      </c>
      <c r="H408" s="410">
        <f>IF(K408&gt;='Pro Forma Detail'!D$66,'Pro Forma Detail'!D$67,'Debt ReFi'!$B$5)</f>
        <v>0.0275</v>
      </c>
      <c r="I408" s="1" t="str">
        <f t="shared" si="1"/>
        <v/>
      </c>
      <c r="J408" s="406">
        <f t="shared" si="13"/>
        <v>57711</v>
      </c>
      <c r="K408" s="105">
        <f t="shared" si="9"/>
        <v>38</v>
      </c>
      <c r="L408" s="411" t="str">
        <f t="shared" si="10"/>
        <v/>
      </c>
      <c r="M408" s="407" t="str">
        <f t="shared" si="2"/>
        <v/>
      </c>
      <c r="N408" s="407">
        <f t="shared" si="3"/>
        <v>0</v>
      </c>
      <c r="O408" s="407" t="str">
        <f t="shared" si="4"/>
        <v/>
      </c>
      <c r="P408" s="1"/>
    </row>
    <row r="409" ht="12.75" customHeight="1">
      <c r="A409" s="1">
        <v>398.0</v>
      </c>
      <c r="B409" s="408" t="str">
        <f t="shared" si="5"/>
        <v/>
      </c>
      <c r="C409" s="408">
        <f t="shared" si="6"/>
        <v>0</v>
      </c>
      <c r="D409" s="408" t="str">
        <f t="shared" si="7"/>
        <v/>
      </c>
      <c r="E409" s="176" t="str">
        <f t="shared" si="8"/>
        <v/>
      </c>
      <c r="F409" s="408" t="str">
        <f t="shared" si="11"/>
        <v/>
      </c>
      <c r="G409" s="408" t="str">
        <f t="shared" si="12"/>
        <v/>
      </c>
      <c r="H409" s="410">
        <f>IF(K409&gt;='Pro Forma Detail'!D$66,'Pro Forma Detail'!D$67,'Debt ReFi'!$B$5)</f>
        <v>0.0275</v>
      </c>
      <c r="I409" s="1" t="str">
        <f t="shared" si="1"/>
        <v/>
      </c>
      <c r="J409" s="406">
        <f t="shared" si="13"/>
        <v>57742</v>
      </c>
      <c r="K409" s="105">
        <f t="shared" si="9"/>
        <v>38</v>
      </c>
      <c r="L409" s="411" t="str">
        <f t="shared" si="10"/>
        <v/>
      </c>
      <c r="M409" s="407" t="str">
        <f t="shared" si="2"/>
        <v/>
      </c>
      <c r="N409" s="407">
        <f t="shared" si="3"/>
        <v>0</v>
      </c>
      <c r="O409" s="407" t="str">
        <f t="shared" si="4"/>
        <v/>
      </c>
      <c r="P409" s="1"/>
    </row>
    <row r="410" ht="12.75" customHeight="1">
      <c r="A410" s="1">
        <v>399.0</v>
      </c>
      <c r="B410" s="408" t="str">
        <f t="shared" si="5"/>
        <v/>
      </c>
      <c r="C410" s="408">
        <f t="shared" si="6"/>
        <v>0</v>
      </c>
      <c r="D410" s="408" t="str">
        <f t="shared" si="7"/>
        <v/>
      </c>
      <c r="E410" s="176" t="str">
        <f t="shared" si="8"/>
        <v/>
      </c>
      <c r="F410" s="408" t="str">
        <f t="shared" si="11"/>
        <v/>
      </c>
      <c r="G410" s="408" t="str">
        <f t="shared" si="12"/>
        <v/>
      </c>
      <c r="H410" s="410">
        <f>IF(K410&gt;='Pro Forma Detail'!D$66,'Pro Forma Detail'!D$67,'Debt ReFi'!$B$5)</f>
        <v>0.0275</v>
      </c>
      <c r="I410" s="1" t="str">
        <f t="shared" si="1"/>
        <v/>
      </c>
      <c r="J410" s="406">
        <f t="shared" si="13"/>
        <v>57770</v>
      </c>
      <c r="K410" s="105">
        <f t="shared" si="9"/>
        <v>38</v>
      </c>
      <c r="L410" s="411" t="str">
        <f t="shared" si="10"/>
        <v/>
      </c>
      <c r="M410" s="407" t="str">
        <f t="shared" si="2"/>
        <v/>
      </c>
      <c r="N410" s="407">
        <f t="shared" si="3"/>
        <v>0</v>
      </c>
      <c r="O410" s="407" t="str">
        <f t="shared" si="4"/>
        <v/>
      </c>
      <c r="P410" s="1"/>
    </row>
    <row r="411" ht="12.75" customHeight="1">
      <c r="A411" s="1">
        <v>400.0</v>
      </c>
      <c r="B411" s="408" t="str">
        <f t="shared" si="5"/>
        <v/>
      </c>
      <c r="C411" s="408">
        <f t="shared" si="6"/>
        <v>0</v>
      </c>
      <c r="D411" s="408" t="str">
        <f t="shared" si="7"/>
        <v/>
      </c>
      <c r="E411" s="176" t="str">
        <f t="shared" si="8"/>
        <v/>
      </c>
      <c r="F411" s="408" t="str">
        <f t="shared" si="11"/>
        <v/>
      </c>
      <c r="G411" s="408" t="str">
        <f t="shared" si="12"/>
        <v/>
      </c>
      <c r="H411" s="410">
        <f>IF(K411&gt;='Pro Forma Detail'!D$66,'Pro Forma Detail'!D$67,'Debt ReFi'!$B$5)</f>
        <v>0.0275</v>
      </c>
      <c r="I411" s="1" t="str">
        <f t="shared" si="1"/>
        <v/>
      </c>
      <c r="J411" s="406">
        <f t="shared" si="13"/>
        <v>57801</v>
      </c>
      <c r="K411" s="105">
        <f t="shared" si="9"/>
        <v>38</v>
      </c>
      <c r="L411" s="411" t="str">
        <f t="shared" si="10"/>
        <v/>
      </c>
      <c r="M411" s="407" t="str">
        <f t="shared" si="2"/>
        <v/>
      </c>
      <c r="N411" s="407">
        <f t="shared" si="3"/>
        <v>0</v>
      </c>
      <c r="O411" s="407" t="str">
        <f t="shared" si="4"/>
        <v/>
      </c>
      <c r="P411" s="1"/>
    </row>
    <row r="412" ht="12.75" customHeight="1">
      <c r="A412" s="1">
        <v>401.0</v>
      </c>
      <c r="B412" s="408" t="str">
        <f t="shared" si="5"/>
        <v/>
      </c>
      <c r="C412" s="408">
        <f t="shared" si="6"/>
        <v>0</v>
      </c>
      <c r="D412" s="408" t="str">
        <f t="shared" si="7"/>
        <v/>
      </c>
      <c r="E412" s="176" t="str">
        <f t="shared" si="8"/>
        <v/>
      </c>
      <c r="F412" s="408" t="str">
        <f t="shared" si="11"/>
        <v/>
      </c>
      <c r="G412" s="408" t="str">
        <f t="shared" si="12"/>
        <v/>
      </c>
      <c r="H412" s="410">
        <f>IF(K412&gt;='Pro Forma Detail'!D$66,'Pro Forma Detail'!D$67,'Debt ReFi'!$B$5)</f>
        <v>0.0275</v>
      </c>
      <c r="I412" s="1" t="str">
        <f t="shared" si="1"/>
        <v/>
      </c>
      <c r="J412" s="406">
        <f t="shared" si="13"/>
        <v>57831</v>
      </c>
      <c r="K412" s="105">
        <f t="shared" si="9"/>
        <v>38</v>
      </c>
      <c r="L412" s="411" t="str">
        <f t="shared" si="10"/>
        <v/>
      </c>
      <c r="M412" s="407" t="str">
        <f t="shared" si="2"/>
        <v/>
      </c>
      <c r="N412" s="407">
        <f t="shared" si="3"/>
        <v>0</v>
      </c>
      <c r="O412" s="407" t="str">
        <f t="shared" si="4"/>
        <v/>
      </c>
      <c r="P412" s="1"/>
    </row>
    <row r="413" ht="12.75" customHeight="1">
      <c r="A413" s="1">
        <v>402.0</v>
      </c>
      <c r="B413" s="408" t="str">
        <f t="shared" si="5"/>
        <v/>
      </c>
      <c r="C413" s="408">
        <f t="shared" si="6"/>
        <v>0</v>
      </c>
      <c r="D413" s="408" t="str">
        <f t="shared" si="7"/>
        <v/>
      </c>
      <c r="E413" s="176" t="str">
        <f t="shared" si="8"/>
        <v/>
      </c>
      <c r="F413" s="408" t="str">
        <f t="shared" si="11"/>
        <v/>
      </c>
      <c r="G413" s="408" t="str">
        <f t="shared" si="12"/>
        <v/>
      </c>
      <c r="H413" s="410">
        <f>IF(K413&gt;='Pro Forma Detail'!D$66,'Pro Forma Detail'!D$67,'Debt ReFi'!$B$5)</f>
        <v>0.0275</v>
      </c>
      <c r="I413" s="1" t="str">
        <f t="shared" si="1"/>
        <v/>
      </c>
      <c r="J413" s="406">
        <f t="shared" si="13"/>
        <v>57862</v>
      </c>
      <c r="K413" s="105">
        <f t="shared" si="9"/>
        <v>38</v>
      </c>
      <c r="L413" s="411" t="str">
        <f t="shared" si="10"/>
        <v/>
      </c>
      <c r="M413" s="407" t="str">
        <f t="shared" si="2"/>
        <v/>
      </c>
      <c r="N413" s="407">
        <f t="shared" si="3"/>
        <v>0</v>
      </c>
      <c r="O413" s="407" t="str">
        <f t="shared" si="4"/>
        <v/>
      </c>
      <c r="P413" s="1"/>
    </row>
    <row r="414" ht="12.75" customHeight="1">
      <c r="A414" s="1">
        <v>403.0</v>
      </c>
      <c r="B414" s="408" t="str">
        <f t="shared" si="5"/>
        <v/>
      </c>
      <c r="C414" s="408">
        <f t="shared" si="6"/>
        <v>0</v>
      </c>
      <c r="D414" s="408" t="str">
        <f t="shared" si="7"/>
        <v/>
      </c>
      <c r="E414" s="176" t="str">
        <f t="shared" si="8"/>
        <v/>
      </c>
      <c r="F414" s="408" t="str">
        <f t="shared" si="11"/>
        <v/>
      </c>
      <c r="G414" s="408" t="str">
        <f t="shared" si="12"/>
        <v/>
      </c>
      <c r="H414" s="410">
        <f>IF(K414&gt;='Pro Forma Detail'!D$66,'Pro Forma Detail'!D$67,'Debt ReFi'!$B$5)</f>
        <v>0.0275</v>
      </c>
      <c r="I414" s="1" t="str">
        <f t="shared" si="1"/>
        <v/>
      </c>
      <c r="J414" s="406">
        <f t="shared" si="13"/>
        <v>57892</v>
      </c>
      <c r="K414" s="105">
        <f t="shared" si="9"/>
        <v>38</v>
      </c>
      <c r="L414" s="411" t="str">
        <f t="shared" si="10"/>
        <v/>
      </c>
      <c r="M414" s="407" t="str">
        <f t="shared" si="2"/>
        <v/>
      </c>
      <c r="N414" s="407">
        <f t="shared" si="3"/>
        <v>0</v>
      </c>
      <c r="O414" s="407" t="str">
        <f t="shared" si="4"/>
        <v/>
      </c>
      <c r="P414" s="1"/>
    </row>
    <row r="415" ht="12.75" customHeight="1">
      <c r="A415" s="1">
        <v>404.0</v>
      </c>
      <c r="B415" s="408" t="str">
        <f t="shared" si="5"/>
        <v/>
      </c>
      <c r="C415" s="408">
        <f t="shared" si="6"/>
        <v>0</v>
      </c>
      <c r="D415" s="408" t="str">
        <f t="shared" si="7"/>
        <v/>
      </c>
      <c r="E415" s="176" t="str">
        <f t="shared" si="8"/>
        <v/>
      </c>
      <c r="F415" s="408" t="str">
        <f t="shared" si="11"/>
        <v/>
      </c>
      <c r="G415" s="408" t="str">
        <f t="shared" si="12"/>
        <v/>
      </c>
      <c r="H415" s="410">
        <f>IF(K415&gt;='Pro Forma Detail'!D$66,'Pro Forma Detail'!D$67,'Debt ReFi'!$B$5)</f>
        <v>0.0275</v>
      </c>
      <c r="I415" s="1" t="str">
        <f t="shared" si="1"/>
        <v/>
      </c>
      <c r="J415" s="406">
        <f t="shared" si="13"/>
        <v>57923</v>
      </c>
      <c r="K415" s="105">
        <f t="shared" si="9"/>
        <v>38</v>
      </c>
      <c r="L415" s="411" t="str">
        <f t="shared" si="10"/>
        <v/>
      </c>
      <c r="M415" s="407" t="str">
        <f t="shared" si="2"/>
        <v/>
      </c>
      <c r="N415" s="407">
        <f t="shared" si="3"/>
        <v>0</v>
      </c>
      <c r="O415" s="407" t="str">
        <f t="shared" si="4"/>
        <v/>
      </c>
      <c r="P415" s="1"/>
    </row>
    <row r="416" ht="12.75" customHeight="1">
      <c r="A416" s="1">
        <v>405.0</v>
      </c>
      <c r="B416" s="408" t="str">
        <f t="shared" si="5"/>
        <v/>
      </c>
      <c r="C416" s="408">
        <f t="shared" si="6"/>
        <v>0</v>
      </c>
      <c r="D416" s="408" t="str">
        <f t="shared" si="7"/>
        <v/>
      </c>
      <c r="E416" s="176" t="str">
        <f t="shared" si="8"/>
        <v/>
      </c>
      <c r="F416" s="408" t="str">
        <f t="shared" si="11"/>
        <v/>
      </c>
      <c r="G416" s="408" t="str">
        <f t="shared" si="12"/>
        <v/>
      </c>
      <c r="H416" s="410">
        <f>IF(K416&gt;='Pro Forma Detail'!D$66,'Pro Forma Detail'!D$67,'Debt ReFi'!$B$5)</f>
        <v>0.0275</v>
      </c>
      <c r="I416" s="1" t="str">
        <f t="shared" si="1"/>
        <v/>
      </c>
      <c r="J416" s="406">
        <f t="shared" si="13"/>
        <v>57954</v>
      </c>
      <c r="K416" s="105">
        <f t="shared" si="9"/>
        <v>38</v>
      </c>
      <c r="L416" s="411" t="str">
        <f t="shared" si="10"/>
        <v/>
      </c>
      <c r="M416" s="407" t="str">
        <f t="shared" si="2"/>
        <v/>
      </c>
      <c r="N416" s="407">
        <f t="shared" si="3"/>
        <v>0</v>
      </c>
      <c r="O416" s="407" t="str">
        <f t="shared" si="4"/>
        <v/>
      </c>
      <c r="P416" s="1"/>
    </row>
    <row r="417" ht="12.75" customHeight="1">
      <c r="A417" s="1">
        <v>406.0</v>
      </c>
      <c r="B417" s="408" t="str">
        <f t="shared" si="5"/>
        <v/>
      </c>
      <c r="C417" s="408">
        <f t="shared" si="6"/>
        <v>0</v>
      </c>
      <c r="D417" s="408" t="str">
        <f t="shared" si="7"/>
        <v/>
      </c>
      <c r="E417" s="176" t="str">
        <f t="shared" si="8"/>
        <v/>
      </c>
      <c r="F417" s="408" t="str">
        <f t="shared" si="11"/>
        <v/>
      </c>
      <c r="G417" s="408" t="str">
        <f t="shared" si="12"/>
        <v/>
      </c>
      <c r="H417" s="410">
        <f>IF(K417&gt;='Pro Forma Detail'!D$66,'Pro Forma Detail'!D$67,'Debt ReFi'!$B$5)</f>
        <v>0.0275</v>
      </c>
      <c r="I417" s="1" t="str">
        <f t="shared" si="1"/>
        <v/>
      </c>
      <c r="J417" s="406">
        <f t="shared" si="13"/>
        <v>57984</v>
      </c>
      <c r="K417" s="105">
        <f t="shared" si="9"/>
        <v>38</v>
      </c>
      <c r="L417" s="411" t="str">
        <f t="shared" si="10"/>
        <v/>
      </c>
      <c r="M417" s="407" t="str">
        <f t="shared" si="2"/>
        <v/>
      </c>
      <c r="N417" s="407">
        <f t="shared" si="3"/>
        <v>0</v>
      </c>
      <c r="O417" s="407" t="str">
        <f t="shared" si="4"/>
        <v/>
      </c>
      <c r="P417" s="1"/>
    </row>
    <row r="418" ht="12.75" customHeight="1">
      <c r="A418" s="1">
        <v>407.0</v>
      </c>
      <c r="B418" s="408" t="str">
        <f t="shared" si="5"/>
        <v/>
      </c>
      <c r="C418" s="408">
        <f t="shared" si="6"/>
        <v>0</v>
      </c>
      <c r="D418" s="408" t="str">
        <f t="shared" si="7"/>
        <v/>
      </c>
      <c r="E418" s="176" t="str">
        <f t="shared" si="8"/>
        <v/>
      </c>
      <c r="F418" s="408" t="str">
        <f t="shared" si="11"/>
        <v/>
      </c>
      <c r="G418" s="408" t="str">
        <f t="shared" si="12"/>
        <v/>
      </c>
      <c r="H418" s="410">
        <f>IF(K418&gt;='Pro Forma Detail'!D$66,'Pro Forma Detail'!D$67,'Debt ReFi'!$B$5)</f>
        <v>0.0275</v>
      </c>
      <c r="I418" s="1" t="str">
        <f t="shared" si="1"/>
        <v/>
      </c>
      <c r="J418" s="406">
        <f t="shared" si="13"/>
        <v>58015</v>
      </c>
      <c r="K418" s="105">
        <f t="shared" si="9"/>
        <v>38</v>
      </c>
      <c r="L418" s="411" t="str">
        <f t="shared" si="10"/>
        <v/>
      </c>
      <c r="M418" s="407" t="str">
        <f t="shared" si="2"/>
        <v/>
      </c>
      <c r="N418" s="407">
        <f t="shared" si="3"/>
        <v>0</v>
      </c>
      <c r="O418" s="407" t="str">
        <f t="shared" si="4"/>
        <v/>
      </c>
      <c r="P418" s="1"/>
    </row>
    <row r="419" ht="12.75" customHeight="1">
      <c r="A419" s="1">
        <v>408.0</v>
      </c>
      <c r="B419" s="408" t="str">
        <f t="shared" si="5"/>
        <v/>
      </c>
      <c r="C419" s="408">
        <f t="shared" si="6"/>
        <v>0</v>
      </c>
      <c r="D419" s="408" t="str">
        <f t="shared" si="7"/>
        <v/>
      </c>
      <c r="E419" s="176" t="str">
        <f t="shared" si="8"/>
        <v/>
      </c>
      <c r="F419" s="408" t="str">
        <f t="shared" si="11"/>
        <v/>
      </c>
      <c r="G419" s="408" t="str">
        <f t="shared" si="12"/>
        <v/>
      </c>
      <c r="H419" s="410">
        <f>IF(K419&gt;='Pro Forma Detail'!D$66,'Pro Forma Detail'!D$67,'Debt ReFi'!$B$5)</f>
        <v>0.0275</v>
      </c>
      <c r="I419" s="1" t="str">
        <f t="shared" si="1"/>
        <v/>
      </c>
      <c r="J419" s="406">
        <f t="shared" si="13"/>
        <v>58045</v>
      </c>
      <c r="K419" s="105">
        <f t="shared" si="9"/>
        <v>38</v>
      </c>
      <c r="L419" s="411" t="str">
        <f t="shared" si="10"/>
        <v/>
      </c>
      <c r="M419" s="407" t="str">
        <f t="shared" si="2"/>
        <v/>
      </c>
      <c r="N419" s="407">
        <f t="shared" si="3"/>
        <v>0</v>
      </c>
      <c r="O419" s="407" t="str">
        <f t="shared" si="4"/>
        <v/>
      </c>
      <c r="P419" s="1"/>
    </row>
    <row r="420" ht="12.75" customHeight="1">
      <c r="A420" s="1">
        <v>409.0</v>
      </c>
      <c r="B420" s="408" t="str">
        <f t="shared" si="5"/>
        <v/>
      </c>
      <c r="C420" s="408">
        <f t="shared" si="6"/>
        <v>0</v>
      </c>
      <c r="D420" s="408" t="str">
        <f t="shared" si="7"/>
        <v/>
      </c>
      <c r="E420" s="176" t="str">
        <f t="shared" si="8"/>
        <v/>
      </c>
      <c r="F420" s="408" t="str">
        <f t="shared" si="11"/>
        <v/>
      </c>
      <c r="G420" s="408" t="str">
        <f t="shared" si="12"/>
        <v/>
      </c>
      <c r="H420" s="410">
        <f>IF(K420&gt;='Pro Forma Detail'!D$66,'Pro Forma Detail'!D$67,'Debt ReFi'!$B$5)</f>
        <v>0.0275</v>
      </c>
      <c r="I420" s="1" t="str">
        <f t="shared" si="1"/>
        <v/>
      </c>
      <c r="J420" s="406">
        <f t="shared" si="13"/>
        <v>58076</v>
      </c>
      <c r="K420" s="105">
        <f t="shared" si="9"/>
        <v>39</v>
      </c>
      <c r="L420" s="411" t="str">
        <f t="shared" si="10"/>
        <v/>
      </c>
      <c r="M420" s="407" t="str">
        <f t="shared" si="2"/>
        <v/>
      </c>
      <c r="N420" s="407">
        <f t="shared" si="3"/>
        <v>0</v>
      </c>
      <c r="O420" s="407" t="str">
        <f t="shared" si="4"/>
        <v/>
      </c>
      <c r="P420" s="1"/>
    </row>
    <row r="421" ht="12.75" customHeight="1">
      <c r="A421" s="1">
        <v>410.0</v>
      </c>
      <c r="B421" s="408" t="str">
        <f t="shared" si="5"/>
        <v/>
      </c>
      <c r="C421" s="408">
        <f t="shared" si="6"/>
        <v>0</v>
      </c>
      <c r="D421" s="408" t="str">
        <f t="shared" si="7"/>
        <v/>
      </c>
      <c r="E421" s="176" t="str">
        <f t="shared" si="8"/>
        <v/>
      </c>
      <c r="F421" s="408" t="str">
        <f t="shared" si="11"/>
        <v/>
      </c>
      <c r="G421" s="408" t="str">
        <f t="shared" si="12"/>
        <v/>
      </c>
      <c r="H421" s="410">
        <f>IF(K421&gt;='Pro Forma Detail'!D$66,'Pro Forma Detail'!D$67,'Debt ReFi'!$B$5)</f>
        <v>0.0275</v>
      </c>
      <c r="I421" s="1" t="str">
        <f t="shared" si="1"/>
        <v/>
      </c>
      <c r="J421" s="406">
        <f t="shared" si="13"/>
        <v>58107</v>
      </c>
      <c r="K421" s="105">
        <f t="shared" si="9"/>
        <v>39</v>
      </c>
      <c r="L421" s="411" t="str">
        <f t="shared" si="10"/>
        <v/>
      </c>
      <c r="M421" s="407" t="str">
        <f t="shared" si="2"/>
        <v/>
      </c>
      <c r="N421" s="407">
        <f t="shared" si="3"/>
        <v>0</v>
      </c>
      <c r="O421" s="407" t="str">
        <f t="shared" si="4"/>
        <v/>
      </c>
      <c r="P421" s="1"/>
    </row>
    <row r="422" ht="12.75" customHeight="1">
      <c r="A422" s="1">
        <v>411.0</v>
      </c>
      <c r="B422" s="408" t="str">
        <f t="shared" si="5"/>
        <v/>
      </c>
      <c r="C422" s="408">
        <f t="shared" si="6"/>
        <v>0</v>
      </c>
      <c r="D422" s="408" t="str">
        <f t="shared" si="7"/>
        <v/>
      </c>
      <c r="E422" s="176" t="str">
        <f t="shared" si="8"/>
        <v/>
      </c>
      <c r="F422" s="408" t="str">
        <f t="shared" si="11"/>
        <v/>
      </c>
      <c r="G422" s="408" t="str">
        <f t="shared" si="12"/>
        <v/>
      </c>
      <c r="H422" s="410">
        <f>IF(K422&gt;='Pro Forma Detail'!D$66,'Pro Forma Detail'!D$67,'Debt ReFi'!$B$5)</f>
        <v>0.0275</v>
      </c>
      <c r="I422" s="1" t="str">
        <f t="shared" si="1"/>
        <v/>
      </c>
      <c r="J422" s="406">
        <f t="shared" si="13"/>
        <v>58135</v>
      </c>
      <c r="K422" s="105">
        <f t="shared" si="9"/>
        <v>39</v>
      </c>
      <c r="L422" s="411" t="str">
        <f t="shared" si="10"/>
        <v/>
      </c>
      <c r="M422" s="407" t="str">
        <f t="shared" si="2"/>
        <v/>
      </c>
      <c r="N422" s="407">
        <f t="shared" si="3"/>
        <v>0</v>
      </c>
      <c r="O422" s="407" t="str">
        <f t="shared" si="4"/>
        <v/>
      </c>
      <c r="P422" s="1"/>
    </row>
    <row r="423" ht="12.75" customHeight="1">
      <c r="A423" s="1">
        <v>412.0</v>
      </c>
      <c r="B423" s="408" t="str">
        <f t="shared" si="5"/>
        <v/>
      </c>
      <c r="C423" s="408">
        <f t="shared" si="6"/>
        <v>0</v>
      </c>
      <c r="D423" s="408" t="str">
        <f t="shared" si="7"/>
        <v/>
      </c>
      <c r="E423" s="176" t="str">
        <f t="shared" si="8"/>
        <v/>
      </c>
      <c r="F423" s="408" t="str">
        <f t="shared" si="11"/>
        <v/>
      </c>
      <c r="G423" s="408" t="str">
        <f t="shared" si="12"/>
        <v/>
      </c>
      <c r="H423" s="410">
        <f>IF(K423&gt;='Pro Forma Detail'!D$66,'Pro Forma Detail'!D$67,'Debt ReFi'!$B$5)</f>
        <v>0.0275</v>
      </c>
      <c r="I423" s="1" t="str">
        <f t="shared" si="1"/>
        <v/>
      </c>
      <c r="J423" s="406">
        <f t="shared" si="13"/>
        <v>58166</v>
      </c>
      <c r="K423" s="105">
        <f t="shared" si="9"/>
        <v>39</v>
      </c>
      <c r="L423" s="411" t="str">
        <f t="shared" si="10"/>
        <v/>
      </c>
      <c r="M423" s="407" t="str">
        <f t="shared" si="2"/>
        <v/>
      </c>
      <c r="N423" s="407">
        <f t="shared" si="3"/>
        <v>0</v>
      </c>
      <c r="O423" s="407" t="str">
        <f t="shared" si="4"/>
        <v/>
      </c>
      <c r="P423" s="1"/>
    </row>
    <row r="424" ht="12.75" customHeight="1">
      <c r="A424" s="1">
        <v>413.0</v>
      </c>
      <c r="B424" s="408" t="str">
        <f t="shared" si="5"/>
        <v/>
      </c>
      <c r="C424" s="408">
        <f t="shared" si="6"/>
        <v>0</v>
      </c>
      <c r="D424" s="408" t="str">
        <f t="shared" si="7"/>
        <v/>
      </c>
      <c r="E424" s="176" t="str">
        <f t="shared" si="8"/>
        <v/>
      </c>
      <c r="F424" s="408" t="str">
        <f t="shared" si="11"/>
        <v/>
      </c>
      <c r="G424" s="408" t="str">
        <f t="shared" si="12"/>
        <v/>
      </c>
      <c r="H424" s="410">
        <f>IF(K424&gt;='Pro Forma Detail'!D$66,'Pro Forma Detail'!D$67,'Debt ReFi'!$B$5)</f>
        <v>0.0275</v>
      </c>
      <c r="I424" s="1" t="str">
        <f t="shared" si="1"/>
        <v/>
      </c>
      <c r="J424" s="406">
        <f t="shared" si="13"/>
        <v>58196</v>
      </c>
      <c r="K424" s="105">
        <f t="shared" si="9"/>
        <v>39</v>
      </c>
      <c r="L424" s="411" t="str">
        <f t="shared" si="10"/>
        <v/>
      </c>
      <c r="M424" s="407" t="str">
        <f t="shared" si="2"/>
        <v/>
      </c>
      <c r="N424" s="407">
        <f t="shared" si="3"/>
        <v>0</v>
      </c>
      <c r="O424" s="407" t="str">
        <f t="shared" si="4"/>
        <v/>
      </c>
      <c r="P424" s="1"/>
    </row>
    <row r="425" ht="12.75" customHeight="1">
      <c r="A425" s="1">
        <v>414.0</v>
      </c>
      <c r="B425" s="408" t="str">
        <f t="shared" si="5"/>
        <v/>
      </c>
      <c r="C425" s="408">
        <f t="shared" si="6"/>
        <v>0</v>
      </c>
      <c r="D425" s="408" t="str">
        <f t="shared" si="7"/>
        <v/>
      </c>
      <c r="E425" s="176" t="str">
        <f t="shared" si="8"/>
        <v/>
      </c>
      <c r="F425" s="408" t="str">
        <f t="shared" si="11"/>
        <v/>
      </c>
      <c r="G425" s="408" t="str">
        <f t="shared" si="12"/>
        <v/>
      </c>
      <c r="H425" s="410">
        <f>IF(K425&gt;='Pro Forma Detail'!D$66,'Pro Forma Detail'!D$67,'Debt ReFi'!$B$5)</f>
        <v>0.0275</v>
      </c>
      <c r="I425" s="1" t="str">
        <f t="shared" si="1"/>
        <v/>
      </c>
      <c r="J425" s="406">
        <f t="shared" si="13"/>
        <v>58227</v>
      </c>
      <c r="K425" s="105">
        <f t="shared" si="9"/>
        <v>39</v>
      </c>
      <c r="L425" s="411" t="str">
        <f t="shared" si="10"/>
        <v/>
      </c>
      <c r="M425" s="407" t="str">
        <f t="shared" si="2"/>
        <v/>
      </c>
      <c r="N425" s="407">
        <f t="shared" si="3"/>
        <v>0</v>
      </c>
      <c r="O425" s="407" t="str">
        <f t="shared" si="4"/>
        <v/>
      </c>
      <c r="P425" s="1"/>
    </row>
    <row r="426" ht="12.75" customHeight="1">
      <c r="A426" s="1">
        <v>415.0</v>
      </c>
      <c r="B426" s="408" t="str">
        <f t="shared" si="5"/>
        <v/>
      </c>
      <c r="C426" s="408">
        <f t="shared" si="6"/>
        <v>0</v>
      </c>
      <c r="D426" s="408" t="str">
        <f t="shared" si="7"/>
        <v/>
      </c>
      <c r="E426" s="176" t="str">
        <f t="shared" si="8"/>
        <v/>
      </c>
      <c r="F426" s="408" t="str">
        <f t="shared" si="11"/>
        <v/>
      </c>
      <c r="G426" s="408" t="str">
        <f t="shared" si="12"/>
        <v/>
      </c>
      <c r="H426" s="410">
        <f>IF(K426&gt;='Pro Forma Detail'!D$66,'Pro Forma Detail'!D$67,'Debt ReFi'!$B$5)</f>
        <v>0.0275</v>
      </c>
      <c r="I426" s="1" t="str">
        <f t="shared" si="1"/>
        <v/>
      </c>
      <c r="J426" s="406">
        <f t="shared" si="13"/>
        <v>58257</v>
      </c>
      <c r="K426" s="105">
        <f t="shared" si="9"/>
        <v>39</v>
      </c>
      <c r="L426" s="411" t="str">
        <f t="shared" si="10"/>
        <v/>
      </c>
      <c r="M426" s="407" t="str">
        <f t="shared" si="2"/>
        <v/>
      </c>
      <c r="N426" s="407">
        <f t="shared" si="3"/>
        <v>0</v>
      </c>
      <c r="O426" s="407" t="str">
        <f t="shared" si="4"/>
        <v/>
      </c>
      <c r="P426" s="1"/>
    </row>
    <row r="427" ht="12.75" customHeight="1">
      <c r="A427" s="1">
        <v>416.0</v>
      </c>
      <c r="B427" s="408" t="str">
        <f t="shared" si="5"/>
        <v/>
      </c>
      <c r="C427" s="408">
        <f t="shared" si="6"/>
        <v>0</v>
      </c>
      <c r="D427" s="408" t="str">
        <f t="shared" si="7"/>
        <v/>
      </c>
      <c r="E427" s="176" t="str">
        <f t="shared" si="8"/>
        <v/>
      </c>
      <c r="F427" s="408" t="str">
        <f t="shared" si="11"/>
        <v/>
      </c>
      <c r="G427" s="408" t="str">
        <f t="shared" si="12"/>
        <v/>
      </c>
      <c r="H427" s="410">
        <f>IF(K427&gt;='Pro Forma Detail'!D$66,'Pro Forma Detail'!D$67,'Debt ReFi'!$B$5)</f>
        <v>0.0275</v>
      </c>
      <c r="I427" s="1" t="str">
        <f t="shared" si="1"/>
        <v/>
      </c>
      <c r="J427" s="406">
        <f t="shared" si="13"/>
        <v>58288</v>
      </c>
      <c r="K427" s="105">
        <f t="shared" si="9"/>
        <v>39</v>
      </c>
      <c r="L427" s="411" t="str">
        <f t="shared" si="10"/>
        <v/>
      </c>
      <c r="M427" s="407" t="str">
        <f t="shared" si="2"/>
        <v/>
      </c>
      <c r="N427" s="407">
        <f t="shared" si="3"/>
        <v>0</v>
      </c>
      <c r="O427" s="407" t="str">
        <f t="shared" si="4"/>
        <v/>
      </c>
      <c r="P427" s="1"/>
    </row>
    <row r="428" ht="12.75" customHeight="1">
      <c r="A428" s="1">
        <v>417.0</v>
      </c>
      <c r="B428" s="408" t="str">
        <f t="shared" si="5"/>
        <v/>
      </c>
      <c r="C428" s="408">
        <f t="shared" si="6"/>
        <v>0</v>
      </c>
      <c r="D428" s="408" t="str">
        <f t="shared" si="7"/>
        <v/>
      </c>
      <c r="E428" s="176" t="str">
        <f t="shared" si="8"/>
        <v/>
      </c>
      <c r="F428" s="408" t="str">
        <f t="shared" si="11"/>
        <v/>
      </c>
      <c r="G428" s="408" t="str">
        <f t="shared" si="12"/>
        <v/>
      </c>
      <c r="H428" s="410">
        <f>IF(K428&gt;='Pro Forma Detail'!D$66,'Pro Forma Detail'!D$67,'Debt ReFi'!$B$5)</f>
        <v>0.0275</v>
      </c>
      <c r="I428" s="1" t="str">
        <f t="shared" si="1"/>
        <v/>
      </c>
      <c r="J428" s="406">
        <f t="shared" si="13"/>
        <v>58319</v>
      </c>
      <c r="K428" s="105">
        <f t="shared" si="9"/>
        <v>39</v>
      </c>
      <c r="L428" s="411" t="str">
        <f t="shared" si="10"/>
        <v/>
      </c>
      <c r="M428" s="407" t="str">
        <f t="shared" si="2"/>
        <v/>
      </c>
      <c r="N428" s="407">
        <f t="shared" si="3"/>
        <v>0</v>
      </c>
      <c r="O428" s="407" t="str">
        <f t="shared" si="4"/>
        <v/>
      </c>
      <c r="P428" s="1"/>
    </row>
    <row r="429" ht="12.75" customHeight="1">
      <c r="A429" s="1">
        <v>418.0</v>
      </c>
      <c r="B429" s="408" t="str">
        <f t="shared" si="5"/>
        <v/>
      </c>
      <c r="C429" s="408">
        <f t="shared" si="6"/>
        <v>0</v>
      </c>
      <c r="D429" s="408" t="str">
        <f t="shared" si="7"/>
        <v/>
      </c>
      <c r="E429" s="176" t="str">
        <f t="shared" si="8"/>
        <v/>
      </c>
      <c r="F429" s="408" t="str">
        <f t="shared" si="11"/>
        <v/>
      </c>
      <c r="G429" s="408" t="str">
        <f t="shared" si="12"/>
        <v/>
      </c>
      <c r="H429" s="410">
        <f>IF(K429&gt;='Pro Forma Detail'!D$66,'Pro Forma Detail'!D$67,'Debt ReFi'!$B$5)</f>
        <v>0.0275</v>
      </c>
      <c r="I429" s="1" t="str">
        <f t="shared" si="1"/>
        <v/>
      </c>
      <c r="J429" s="406">
        <f t="shared" si="13"/>
        <v>58349</v>
      </c>
      <c r="K429" s="105">
        <f t="shared" si="9"/>
        <v>39</v>
      </c>
      <c r="L429" s="411" t="str">
        <f t="shared" si="10"/>
        <v/>
      </c>
      <c r="M429" s="407" t="str">
        <f t="shared" si="2"/>
        <v/>
      </c>
      <c r="N429" s="407">
        <f t="shared" si="3"/>
        <v>0</v>
      </c>
      <c r="O429" s="407" t="str">
        <f t="shared" si="4"/>
        <v/>
      </c>
      <c r="P429" s="1"/>
    </row>
    <row r="430" ht="12.75" customHeight="1">
      <c r="A430" s="1">
        <v>419.0</v>
      </c>
      <c r="B430" s="408" t="str">
        <f t="shared" si="5"/>
        <v/>
      </c>
      <c r="C430" s="408">
        <f t="shared" si="6"/>
        <v>0</v>
      </c>
      <c r="D430" s="408" t="str">
        <f t="shared" si="7"/>
        <v/>
      </c>
      <c r="E430" s="176" t="str">
        <f t="shared" si="8"/>
        <v/>
      </c>
      <c r="F430" s="408" t="str">
        <f t="shared" si="11"/>
        <v/>
      </c>
      <c r="G430" s="408" t="str">
        <f t="shared" si="12"/>
        <v/>
      </c>
      <c r="H430" s="410">
        <f>IF(K430&gt;='Pro Forma Detail'!D$66,'Pro Forma Detail'!D$67,'Debt ReFi'!$B$5)</f>
        <v>0.0275</v>
      </c>
      <c r="I430" s="1" t="str">
        <f t="shared" si="1"/>
        <v/>
      </c>
      <c r="J430" s="406">
        <f t="shared" si="13"/>
        <v>58380</v>
      </c>
      <c r="K430" s="105">
        <f t="shared" si="9"/>
        <v>39</v>
      </c>
      <c r="L430" s="411" t="str">
        <f t="shared" si="10"/>
        <v/>
      </c>
      <c r="M430" s="407" t="str">
        <f t="shared" si="2"/>
        <v/>
      </c>
      <c r="N430" s="407">
        <f t="shared" si="3"/>
        <v>0</v>
      </c>
      <c r="O430" s="407" t="str">
        <f t="shared" si="4"/>
        <v/>
      </c>
      <c r="P430" s="1"/>
    </row>
    <row r="431" ht="12.75" customHeight="1">
      <c r="A431" s="1">
        <v>420.0</v>
      </c>
      <c r="B431" s="408" t="str">
        <f t="shared" si="5"/>
        <v/>
      </c>
      <c r="C431" s="408">
        <f t="shared" si="6"/>
        <v>0</v>
      </c>
      <c r="D431" s="408" t="str">
        <f t="shared" si="7"/>
        <v/>
      </c>
      <c r="E431" s="176" t="str">
        <f t="shared" si="8"/>
        <v/>
      </c>
      <c r="F431" s="408" t="str">
        <f t="shared" si="11"/>
        <v/>
      </c>
      <c r="G431" s="408" t="str">
        <f t="shared" si="12"/>
        <v/>
      </c>
      <c r="H431" s="410">
        <f>IF(K431&gt;='Pro Forma Detail'!D$66,'Pro Forma Detail'!D$67,'Debt ReFi'!$B$5)</f>
        <v>0.0275</v>
      </c>
      <c r="I431" s="1" t="str">
        <f t="shared" si="1"/>
        <v/>
      </c>
      <c r="J431" s="406">
        <f t="shared" si="13"/>
        <v>58410</v>
      </c>
      <c r="K431" s="105">
        <f t="shared" si="9"/>
        <v>39</v>
      </c>
      <c r="L431" s="411" t="str">
        <f t="shared" si="10"/>
        <v/>
      </c>
      <c r="M431" s="407" t="str">
        <f t="shared" si="2"/>
        <v/>
      </c>
      <c r="N431" s="407">
        <f t="shared" si="3"/>
        <v>0</v>
      </c>
      <c r="O431" s="407" t="str">
        <f t="shared" si="4"/>
        <v/>
      </c>
      <c r="P431" s="1"/>
    </row>
    <row r="432" ht="12.75" customHeight="1">
      <c r="A432" s="1">
        <v>421.0</v>
      </c>
      <c r="B432" s="408" t="str">
        <f t="shared" si="5"/>
        <v/>
      </c>
      <c r="C432" s="408">
        <f t="shared" si="6"/>
        <v>0</v>
      </c>
      <c r="D432" s="408" t="str">
        <f t="shared" si="7"/>
        <v/>
      </c>
      <c r="E432" s="176" t="str">
        <f t="shared" si="8"/>
        <v/>
      </c>
      <c r="F432" s="408" t="str">
        <f t="shared" si="11"/>
        <v/>
      </c>
      <c r="G432" s="408" t="str">
        <f t="shared" si="12"/>
        <v/>
      </c>
      <c r="H432" s="410">
        <f>IF(K432&gt;='Pro Forma Detail'!D$66,'Pro Forma Detail'!D$67,'Debt ReFi'!$B$5)</f>
        <v>0.0275</v>
      </c>
      <c r="I432" s="1" t="str">
        <f t="shared" si="1"/>
        <v/>
      </c>
      <c r="J432" s="406">
        <f t="shared" si="13"/>
        <v>58441</v>
      </c>
      <c r="K432" s="105">
        <f t="shared" si="9"/>
        <v>40</v>
      </c>
      <c r="L432" s="411" t="str">
        <f t="shared" si="10"/>
        <v/>
      </c>
      <c r="M432" s="407" t="str">
        <f t="shared" si="2"/>
        <v/>
      </c>
      <c r="N432" s="407">
        <f t="shared" si="3"/>
        <v>0</v>
      </c>
      <c r="O432" s="407" t="str">
        <f t="shared" si="4"/>
        <v/>
      </c>
      <c r="P432" s="1"/>
    </row>
    <row r="433" ht="12.75" customHeight="1">
      <c r="A433" s="1">
        <v>422.0</v>
      </c>
      <c r="B433" s="408" t="str">
        <f t="shared" si="5"/>
        <v/>
      </c>
      <c r="C433" s="408">
        <f t="shared" si="6"/>
        <v>0</v>
      </c>
      <c r="D433" s="408" t="str">
        <f t="shared" si="7"/>
        <v/>
      </c>
      <c r="E433" s="176" t="str">
        <f t="shared" si="8"/>
        <v/>
      </c>
      <c r="F433" s="408" t="str">
        <f t="shared" si="11"/>
        <v/>
      </c>
      <c r="G433" s="408" t="str">
        <f t="shared" si="12"/>
        <v/>
      </c>
      <c r="H433" s="410">
        <f>IF(K433&gt;='Pro Forma Detail'!D$66,'Pro Forma Detail'!D$67,'Debt ReFi'!$B$5)</f>
        <v>0.0275</v>
      </c>
      <c r="I433" s="1" t="str">
        <f t="shared" si="1"/>
        <v/>
      </c>
      <c r="J433" s="406">
        <f t="shared" si="13"/>
        <v>58472</v>
      </c>
      <c r="K433" s="105">
        <f t="shared" si="9"/>
        <v>40</v>
      </c>
      <c r="L433" s="411" t="str">
        <f t="shared" si="10"/>
        <v/>
      </c>
      <c r="M433" s="407" t="str">
        <f t="shared" si="2"/>
        <v/>
      </c>
      <c r="N433" s="407">
        <f t="shared" si="3"/>
        <v>0</v>
      </c>
      <c r="O433" s="407" t="str">
        <f t="shared" si="4"/>
        <v/>
      </c>
      <c r="P433" s="1"/>
    </row>
    <row r="434" ht="12.75" customHeight="1">
      <c r="A434" s="1">
        <v>423.0</v>
      </c>
      <c r="B434" s="408" t="str">
        <f t="shared" si="5"/>
        <v/>
      </c>
      <c r="C434" s="408">
        <f t="shared" si="6"/>
        <v>0</v>
      </c>
      <c r="D434" s="408" t="str">
        <f t="shared" si="7"/>
        <v/>
      </c>
      <c r="E434" s="176" t="str">
        <f t="shared" si="8"/>
        <v/>
      </c>
      <c r="F434" s="408" t="str">
        <f t="shared" si="11"/>
        <v/>
      </c>
      <c r="G434" s="408" t="str">
        <f t="shared" si="12"/>
        <v/>
      </c>
      <c r="H434" s="410">
        <f>IF(K434&gt;='Pro Forma Detail'!D$66,'Pro Forma Detail'!D$67,'Debt ReFi'!$B$5)</f>
        <v>0.0275</v>
      </c>
      <c r="I434" s="1" t="str">
        <f t="shared" si="1"/>
        <v/>
      </c>
      <c r="J434" s="406">
        <f t="shared" si="13"/>
        <v>58501</v>
      </c>
      <c r="K434" s="105">
        <f t="shared" si="9"/>
        <v>40</v>
      </c>
      <c r="L434" s="411" t="str">
        <f t="shared" si="10"/>
        <v/>
      </c>
      <c r="M434" s="407" t="str">
        <f t="shared" si="2"/>
        <v/>
      </c>
      <c r="N434" s="407">
        <f t="shared" si="3"/>
        <v>0</v>
      </c>
      <c r="O434" s="407" t="str">
        <f t="shared" si="4"/>
        <v/>
      </c>
      <c r="P434" s="1"/>
    </row>
    <row r="435" ht="12.75" customHeight="1">
      <c r="A435" s="1">
        <v>424.0</v>
      </c>
      <c r="B435" s="408" t="str">
        <f t="shared" si="5"/>
        <v/>
      </c>
      <c r="C435" s="408">
        <f t="shared" si="6"/>
        <v>0</v>
      </c>
      <c r="D435" s="408" t="str">
        <f t="shared" si="7"/>
        <v/>
      </c>
      <c r="E435" s="176" t="str">
        <f t="shared" si="8"/>
        <v/>
      </c>
      <c r="F435" s="408" t="str">
        <f t="shared" si="11"/>
        <v/>
      </c>
      <c r="G435" s="408" t="str">
        <f t="shared" si="12"/>
        <v/>
      </c>
      <c r="H435" s="410">
        <f>IF(K435&gt;='Pro Forma Detail'!D$66,'Pro Forma Detail'!D$67,'Debt ReFi'!$B$5)</f>
        <v>0.0275</v>
      </c>
      <c r="I435" s="1" t="str">
        <f t="shared" si="1"/>
        <v/>
      </c>
      <c r="J435" s="406">
        <f t="shared" si="13"/>
        <v>58532</v>
      </c>
      <c r="K435" s="105">
        <f t="shared" si="9"/>
        <v>40</v>
      </c>
      <c r="L435" s="411" t="str">
        <f t="shared" si="10"/>
        <v/>
      </c>
      <c r="M435" s="407" t="str">
        <f t="shared" si="2"/>
        <v/>
      </c>
      <c r="N435" s="407">
        <f t="shared" si="3"/>
        <v>0</v>
      </c>
      <c r="O435" s="407" t="str">
        <f t="shared" si="4"/>
        <v/>
      </c>
      <c r="P435" s="1"/>
    </row>
    <row r="436" ht="12.75" customHeight="1">
      <c r="A436" s="1">
        <v>425.0</v>
      </c>
      <c r="B436" s="408" t="str">
        <f t="shared" si="5"/>
        <v/>
      </c>
      <c r="C436" s="408">
        <f t="shared" si="6"/>
        <v>0</v>
      </c>
      <c r="D436" s="408" t="str">
        <f t="shared" si="7"/>
        <v/>
      </c>
      <c r="E436" s="176" t="str">
        <f t="shared" si="8"/>
        <v/>
      </c>
      <c r="F436" s="408" t="str">
        <f t="shared" si="11"/>
        <v/>
      </c>
      <c r="G436" s="408" t="str">
        <f t="shared" si="12"/>
        <v/>
      </c>
      <c r="H436" s="410">
        <f>IF(K436&gt;='Pro Forma Detail'!D$66,'Pro Forma Detail'!D$67,'Debt ReFi'!$B$5)</f>
        <v>0.0275</v>
      </c>
      <c r="I436" s="1" t="str">
        <f t="shared" si="1"/>
        <v/>
      </c>
      <c r="J436" s="406">
        <f t="shared" si="13"/>
        <v>58562</v>
      </c>
      <c r="K436" s="105">
        <f t="shared" si="9"/>
        <v>40</v>
      </c>
      <c r="L436" s="411" t="str">
        <f t="shared" si="10"/>
        <v/>
      </c>
      <c r="M436" s="407" t="str">
        <f t="shared" si="2"/>
        <v/>
      </c>
      <c r="N436" s="407">
        <f t="shared" si="3"/>
        <v>0</v>
      </c>
      <c r="O436" s="407" t="str">
        <f t="shared" si="4"/>
        <v/>
      </c>
      <c r="P436" s="1"/>
    </row>
    <row r="437" ht="12.75" customHeight="1">
      <c r="A437" s="1">
        <v>426.0</v>
      </c>
      <c r="B437" s="408" t="str">
        <f t="shared" si="5"/>
        <v/>
      </c>
      <c r="C437" s="408">
        <f t="shared" si="6"/>
        <v>0</v>
      </c>
      <c r="D437" s="408" t="str">
        <f t="shared" si="7"/>
        <v/>
      </c>
      <c r="E437" s="176" t="str">
        <f t="shared" si="8"/>
        <v/>
      </c>
      <c r="F437" s="408" t="str">
        <f t="shared" si="11"/>
        <v/>
      </c>
      <c r="G437" s="408" t="str">
        <f t="shared" si="12"/>
        <v/>
      </c>
      <c r="H437" s="410">
        <f>IF(K437&gt;='Pro Forma Detail'!D$66,'Pro Forma Detail'!D$67,'Debt ReFi'!$B$5)</f>
        <v>0.0275</v>
      </c>
      <c r="I437" s="1" t="str">
        <f t="shared" si="1"/>
        <v/>
      </c>
      <c r="J437" s="406">
        <f t="shared" si="13"/>
        <v>58593</v>
      </c>
      <c r="K437" s="105">
        <f t="shared" si="9"/>
        <v>40</v>
      </c>
      <c r="L437" s="411" t="str">
        <f t="shared" si="10"/>
        <v/>
      </c>
      <c r="M437" s="407" t="str">
        <f t="shared" si="2"/>
        <v/>
      </c>
      <c r="N437" s="407">
        <f t="shared" si="3"/>
        <v>0</v>
      </c>
      <c r="O437" s="407" t="str">
        <f t="shared" si="4"/>
        <v/>
      </c>
      <c r="P437" s="1"/>
    </row>
    <row r="438" ht="12.75" customHeight="1">
      <c r="A438" s="1">
        <v>427.0</v>
      </c>
      <c r="B438" s="408" t="str">
        <f t="shared" si="5"/>
        <v/>
      </c>
      <c r="C438" s="408">
        <f t="shared" si="6"/>
        <v>0</v>
      </c>
      <c r="D438" s="408" t="str">
        <f t="shared" si="7"/>
        <v/>
      </c>
      <c r="E438" s="176" t="str">
        <f t="shared" si="8"/>
        <v/>
      </c>
      <c r="F438" s="408" t="str">
        <f t="shared" si="11"/>
        <v/>
      </c>
      <c r="G438" s="408" t="str">
        <f t="shared" si="12"/>
        <v/>
      </c>
      <c r="H438" s="410">
        <f>IF(K438&gt;='Pro Forma Detail'!D$66,'Pro Forma Detail'!D$67,'Debt ReFi'!$B$5)</f>
        <v>0.0275</v>
      </c>
      <c r="I438" s="1" t="str">
        <f t="shared" si="1"/>
        <v/>
      </c>
      <c r="J438" s="406">
        <f t="shared" si="13"/>
        <v>58623</v>
      </c>
      <c r="K438" s="105">
        <f t="shared" si="9"/>
        <v>40</v>
      </c>
      <c r="L438" s="411" t="str">
        <f t="shared" si="10"/>
        <v/>
      </c>
      <c r="M438" s="407" t="str">
        <f t="shared" si="2"/>
        <v/>
      </c>
      <c r="N438" s="407">
        <f t="shared" si="3"/>
        <v>0</v>
      </c>
      <c r="O438" s="407" t="str">
        <f t="shared" si="4"/>
        <v/>
      </c>
      <c r="P438" s="1"/>
    </row>
    <row r="439" ht="12.75" customHeight="1">
      <c r="A439" s="1">
        <v>428.0</v>
      </c>
      <c r="B439" s="408" t="str">
        <f t="shared" si="5"/>
        <v/>
      </c>
      <c r="C439" s="408">
        <f t="shared" si="6"/>
        <v>0</v>
      </c>
      <c r="D439" s="408" t="str">
        <f t="shared" si="7"/>
        <v/>
      </c>
      <c r="E439" s="176" t="str">
        <f t="shared" si="8"/>
        <v/>
      </c>
      <c r="F439" s="408" t="str">
        <f t="shared" si="11"/>
        <v/>
      </c>
      <c r="G439" s="408" t="str">
        <f t="shared" si="12"/>
        <v/>
      </c>
      <c r="H439" s="410">
        <f>IF(K439&gt;='Pro Forma Detail'!D$66,'Pro Forma Detail'!D$67,'Debt ReFi'!$B$5)</f>
        <v>0.0275</v>
      </c>
      <c r="I439" s="1" t="str">
        <f t="shared" si="1"/>
        <v/>
      </c>
      <c r="J439" s="406">
        <f t="shared" si="13"/>
        <v>58654</v>
      </c>
      <c r="K439" s="105">
        <f t="shared" si="9"/>
        <v>40</v>
      </c>
      <c r="L439" s="411" t="str">
        <f t="shared" si="10"/>
        <v/>
      </c>
      <c r="M439" s="407" t="str">
        <f t="shared" si="2"/>
        <v/>
      </c>
      <c r="N439" s="407">
        <f t="shared" si="3"/>
        <v>0</v>
      </c>
      <c r="O439" s="407" t="str">
        <f t="shared" si="4"/>
        <v/>
      </c>
      <c r="P439" s="1"/>
    </row>
    <row r="440" ht="12.75" customHeight="1">
      <c r="A440" s="1">
        <v>429.0</v>
      </c>
      <c r="B440" s="408" t="str">
        <f t="shared" si="5"/>
        <v/>
      </c>
      <c r="C440" s="408">
        <f t="shared" si="6"/>
        <v>0</v>
      </c>
      <c r="D440" s="408" t="str">
        <f t="shared" si="7"/>
        <v/>
      </c>
      <c r="E440" s="176" t="str">
        <f t="shared" si="8"/>
        <v/>
      </c>
      <c r="F440" s="408" t="str">
        <f t="shared" si="11"/>
        <v/>
      </c>
      <c r="G440" s="408" t="str">
        <f t="shared" si="12"/>
        <v/>
      </c>
      <c r="H440" s="410">
        <f>IF(K440&gt;='Pro Forma Detail'!D$66,'Pro Forma Detail'!D$67,'Debt ReFi'!$B$5)</f>
        <v>0.0275</v>
      </c>
      <c r="I440" s="1" t="str">
        <f t="shared" si="1"/>
        <v/>
      </c>
      <c r="J440" s="406">
        <f t="shared" si="13"/>
        <v>58685</v>
      </c>
      <c r="K440" s="105">
        <f t="shared" si="9"/>
        <v>40</v>
      </c>
      <c r="L440" s="411" t="str">
        <f t="shared" si="10"/>
        <v/>
      </c>
      <c r="M440" s="407" t="str">
        <f t="shared" si="2"/>
        <v/>
      </c>
      <c r="N440" s="407">
        <f t="shared" si="3"/>
        <v>0</v>
      </c>
      <c r="O440" s="407" t="str">
        <f t="shared" si="4"/>
        <v/>
      </c>
      <c r="P440" s="1"/>
    </row>
    <row r="441" ht="12.75" customHeight="1">
      <c r="A441" s="1">
        <v>430.0</v>
      </c>
      <c r="B441" s="408" t="str">
        <f t="shared" si="5"/>
        <v/>
      </c>
      <c r="C441" s="408">
        <f t="shared" si="6"/>
        <v>0</v>
      </c>
      <c r="D441" s="408" t="str">
        <f t="shared" si="7"/>
        <v/>
      </c>
      <c r="E441" s="176" t="str">
        <f t="shared" si="8"/>
        <v/>
      </c>
      <c r="F441" s="408" t="str">
        <f t="shared" si="11"/>
        <v/>
      </c>
      <c r="G441" s="408" t="str">
        <f t="shared" si="12"/>
        <v/>
      </c>
      <c r="H441" s="410">
        <f>IF(K441&gt;='Pro Forma Detail'!D$66,'Pro Forma Detail'!D$67,'Debt ReFi'!$B$5)</f>
        <v>0.0275</v>
      </c>
      <c r="I441" s="1" t="str">
        <f t="shared" si="1"/>
        <v/>
      </c>
      <c r="J441" s="406">
        <f t="shared" si="13"/>
        <v>58715</v>
      </c>
      <c r="K441" s="105">
        <f t="shared" si="9"/>
        <v>40</v>
      </c>
      <c r="L441" s="411" t="str">
        <f t="shared" si="10"/>
        <v/>
      </c>
      <c r="M441" s="407" t="str">
        <f t="shared" si="2"/>
        <v/>
      </c>
      <c r="N441" s="407">
        <f t="shared" si="3"/>
        <v>0</v>
      </c>
      <c r="O441" s="407" t="str">
        <f t="shared" si="4"/>
        <v/>
      </c>
      <c r="P441" s="1"/>
    </row>
    <row r="442" ht="12.75" customHeight="1">
      <c r="A442" s="1">
        <v>431.0</v>
      </c>
      <c r="B442" s="408" t="str">
        <f t="shared" si="5"/>
        <v/>
      </c>
      <c r="C442" s="408">
        <f t="shared" si="6"/>
        <v>0</v>
      </c>
      <c r="D442" s="408" t="str">
        <f t="shared" si="7"/>
        <v/>
      </c>
      <c r="E442" s="176" t="str">
        <f t="shared" si="8"/>
        <v/>
      </c>
      <c r="F442" s="408" t="str">
        <f t="shared" si="11"/>
        <v/>
      </c>
      <c r="G442" s="408" t="str">
        <f t="shared" si="12"/>
        <v/>
      </c>
      <c r="H442" s="410">
        <f>IF(K442&gt;='Pro Forma Detail'!D$66,'Pro Forma Detail'!D$67,'Debt ReFi'!$B$5)</f>
        <v>0.0275</v>
      </c>
      <c r="I442" s="1" t="str">
        <f t="shared" si="1"/>
        <v/>
      </c>
      <c r="J442" s="406">
        <f t="shared" si="13"/>
        <v>58746</v>
      </c>
      <c r="K442" s="105">
        <f t="shared" si="9"/>
        <v>40</v>
      </c>
      <c r="L442" s="411" t="str">
        <f t="shared" si="10"/>
        <v/>
      </c>
      <c r="M442" s="407" t="str">
        <f t="shared" si="2"/>
        <v/>
      </c>
      <c r="N442" s="407">
        <f t="shared" si="3"/>
        <v>0</v>
      </c>
      <c r="O442" s="407" t="str">
        <f t="shared" si="4"/>
        <v/>
      </c>
      <c r="P442" s="1"/>
    </row>
    <row r="443" ht="12.75" customHeight="1">
      <c r="A443" s="1">
        <v>432.0</v>
      </c>
      <c r="B443" s="408" t="str">
        <f t="shared" si="5"/>
        <v/>
      </c>
      <c r="C443" s="408">
        <f t="shared" si="6"/>
        <v>0</v>
      </c>
      <c r="D443" s="408" t="str">
        <f t="shared" si="7"/>
        <v/>
      </c>
      <c r="E443" s="176" t="str">
        <f t="shared" si="8"/>
        <v/>
      </c>
      <c r="F443" s="408" t="str">
        <f t="shared" si="11"/>
        <v/>
      </c>
      <c r="G443" s="408" t="str">
        <f t="shared" si="12"/>
        <v/>
      </c>
      <c r="H443" s="410">
        <f>IF(K443&gt;='Pro Forma Detail'!D$66,'Pro Forma Detail'!D$67,'Debt ReFi'!$B$5)</f>
        <v>0.0275</v>
      </c>
      <c r="I443" s="1" t="str">
        <f t="shared" si="1"/>
        <v/>
      </c>
      <c r="J443" s="406">
        <f t="shared" si="13"/>
        <v>58776</v>
      </c>
      <c r="K443" s="105">
        <f t="shared" si="9"/>
        <v>40</v>
      </c>
      <c r="L443" s="411" t="str">
        <f t="shared" si="10"/>
        <v/>
      </c>
      <c r="M443" s="407" t="str">
        <f t="shared" si="2"/>
        <v/>
      </c>
      <c r="N443" s="407">
        <f t="shared" si="3"/>
        <v>0</v>
      </c>
      <c r="O443" s="407" t="str">
        <f t="shared" si="4"/>
        <v/>
      </c>
      <c r="P443" s="1"/>
    </row>
    <row r="444" ht="12.75" customHeight="1">
      <c r="A444" s="1">
        <v>433.0</v>
      </c>
      <c r="B444" s="408" t="str">
        <f t="shared" si="5"/>
        <v/>
      </c>
      <c r="C444" s="408">
        <f t="shared" si="6"/>
        <v>0</v>
      </c>
      <c r="D444" s="408" t="str">
        <f t="shared" si="7"/>
        <v/>
      </c>
      <c r="E444" s="176" t="str">
        <f t="shared" si="8"/>
        <v/>
      </c>
      <c r="F444" s="408" t="str">
        <f t="shared" si="11"/>
        <v/>
      </c>
      <c r="G444" s="408" t="str">
        <f t="shared" si="12"/>
        <v/>
      </c>
      <c r="H444" s="410">
        <f>IF(K444&gt;='Pro Forma Detail'!D$66,'Pro Forma Detail'!D$67,'Debt ReFi'!$B$5)</f>
        <v>0.0275</v>
      </c>
      <c r="I444" s="1" t="str">
        <f t="shared" si="1"/>
        <v/>
      </c>
      <c r="J444" s="406">
        <f t="shared" si="13"/>
        <v>58807</v>
      </c>
      <c r="K444" s="105">
        <f t="shared" si="9"/>
        <v>41</v>
      </c>
      <c r="L444" s="411" t="str">
        <f t="shared" si="10"/>
        <v/>
      </c>
      <c r="M444" s="407" t="str">
        <f t="shared" si="2"/>
        <v/>
      </c>
      <c r="N444" s="407">
        <f t="shared" si="3"/>
        <v>0</v>
      </c>
      <c r="O444" s="407" t="str">
        <f t="shared" si="4"/>
        <v/>
      </c>
      <c r="P444" s="1"/>
    </row>
    <row r="445" ht="12.75" customHeight="1">
      <c r="A445" s="1">
        <v>434.0</v>
      </c>
      <c r="B445" s="408" t="str">
        <f t="shared" si="5"/>
        <v/>
      </c>
      <c r="C445" s="408">
        <f t="shared" si="6"/>
        <v>0</v>
      </c>
      <c r="D445" s="408" t="str">
        <f t="shared" si="7"/>
        <v/>
      </c>
      <c r="E445" s="176" t="str">
        <f t="shared" si="8"/>
        <v/>
      </c>
      <c r="F445" s="408" t="str">
        <f t="shared" si="11"/>
        <v/>
      </c>
      <c r="G445" s="408" t="str">
        <f t="shared" si="12"/>
        <v/>
      </c>
      <c r="H445" s="410">
        <f>IF(K445&gt;='Pro Forma Detail'!D$66,'Pro Forma Detail'!D$67,'Debt ReFi'!$B$5)</f>
        <v>0.0275</v>
      </c>
      <c r="I445" s="1" t="str">
        <f t="shared" si="1"/>
        <v/>
      </c>
      <c r="J445" s="406">
        <f t="shared" si="13"/>
        <v>58838</v>
      </c>
      <c r="K445" s="105">
        <f t="shared" si="9"/>
        <v>41</v>
      </c>
      <c r="L445" s="411" t="str">
        <f t="shared" si="10"/>
        <v/>
      </c>
      <c r="M445" s="407" t="str">
        <f t="shared" si="2"/>
        <v/>
      </c>
      <c r="N445" s="407">
        <f t="shared" si="3"/>
        <v>0</v>
      </c>
      <c r="O445" s="407" t="str">
        <f t="shared" si="4"/>
        <v/>
      </c>
      <c r="P445" s="1"/>
    </row>
    <row r="446" ht="12.75" customHeight="1">
      <c r="A446" s="1">
        <v>435.0</v>
      </c>
      <c r="B446" s="408" t="str">
        <f t="shared" si="5"/>
        <v/>
      </c>
      <c r="C446" s="408">
        <f t="shared" si="6"/>
        <v>0</v>
      </c>
      <c r="D446" s="408" t="str">
        <f t="shared" si="7"/>
        <v/>
      </c>
      <c r="E446" s="176" t="str">
        <f t="shared" si="8"/>
        <v/>
      </c>
      <c r="F446" s="408" t="str">
        <f t="shared" si="11"/>
        <v/>
      </c>
      <c r="G446" s="408" t="str">
        <f t="shared" si="12"/>
        <v/>
      </c>
      <c r="H446" s="410">
        <f>IF(K446&gt;='Pro Forma Detail'!D$66,'Pro Forma Detail'!D$67,'Debt ReFi'!$B$5)</f>
        <v>0.0275</v>
      </c>
      <c r="I446" s="1" t="str">
        <f t="shared" si="1"/>
        <v/>
      </c>
      <c r="J446" s="406">
        <f t="shared" si="13"/>
        <v>58866</v>
      </c>
      <c r="K446" s="105">
        <f t="shared" si="9"/>
        <v>41</v>
      </c>
      <c r="L446" s="411" t="str">
        <f t="shared" si="10"/>
        <v/>
      </c>
      <c r="M446" s="407" t="str">
        <f t="shared" si="2"/>
        <v/>
      </c>
      <c r="N446" s="407">
        <f t="shared" si="3"/>
        <v>0</v>
      </c>
      <c r="O446" s="407" t="str">
        <f t="shared" si="4"/>
        <v/>
      </c>
      <c r="P446" s="1"/>
    </row>
    <row r="447" ht="12.75" customHeight="1">
      <c r="A447" s="1">
        <v>436.0</v>
      </c>
      <c r="B447" s="408" t="str">
        <f t="shared" si="5"/>
        <v/>
      </c>
      <c r="C447" s="408">
        <f t="shared" si="6"/>
        <v>0</v>
      </c>
      <c r="D447" s="408" t="str">
        <f t="shared" si="7"/>
        <v/>
      </c>
      <c r="E447" s="176" t="str">
        <f t="shared" si="8"/>
        <v/>
      </c>
      <c r="F447" s="408" t="str">
        <f t="shared" si="11"/>
        <v/>
      </c>
      <c r="G447" s="408" t="str">
        <f t="shared" si="12"/>
        <v/>
      </c>
      <c r="H447" s="410">
        <f>IF(K447&gt;='Pro Forma Detail'!D$66,'Pro Forma Detail'!D$67,'Debt ReFi'!$B$5)</f>
        <v>0.0275</v>
      </c>
      <c r="I447" s="1" t="str">
        <f t="shared" si="1"/>
        <v/>
      </c>
      <c r="J447" s="406">
        <f t="shared" si="13"/>
        <v>58897</v>
      </c>
      <c r="K447" s="105">
        <f t="shared" si="9"/>
        <v>41</v>
      </c>
      <c r="L447" s="411" t="str">
        <f t="shared" si="10"/>
        <v/>
      </c>
      <c r="M447" s="407" t="str">
        <f t="shared" si="2"/>
        <v/>
      </c>
      <c r="N447" s="407">
        <f t="shared" si="3"/>
        <v>0</v>
      </c>
      <c r="O447" s="407" t="str">
        <f t="shared" si="4"/>
        <v/>
      </c>
      <c r="P447" s="1"/>
    </row>
    <row r="448" ht="12.75" customHeight="1">
      <c r="A448" s="1">
        <v>437.0</v>
      </c>
      <c r="B448" s="408" t="str">
        <f t="shared" si="5"/>
        <v/>
      </c>
      <c r="C448" s="408">
        <f t="shared" si="6"/>
        <v>0</v>
      </c>
      <c r="D448" s="408" t="str">
        <f t="shared" si="7"/>
        <v/>
      </c>
      <c r="E448" s="176" t="str">
        <f t="shared" si="8"/>
        <v/>
      </c>
      <c r="F448" s="408" t="str">
        <f t="shared" si="11"/>
        <v/>
      </c>
      <c r="G448" s="408" t="str">
        <f t="shared" si="12"/>
        <v/>
      </c>
      <c r="H448" s="410">
        <f>IF(K448&gt;='Pro Forma Detail'!D$66,'Pro Forma Detail'!D$67,'Debt ReFi'!$B$5)</f>
        <v>0.0275</v>
      </c>
      <c r="I448" s="1" t="str">
        <f t="shared" si="1"/>
        <v/>
      </c>
      <c r="J448" s="406">
        <f t="shared" si="13"/>
        <v>58927</v>
      </c>
      <c r="K448" s="105">
        <f t="shared" si="9"/>
        <v>41</v>
      </c>
      <c r="L448" s="411" t="str">
        <f t="shared" si="10"/>
        <v/>
      </c>
      <c r="M448" s="407" t="str">
        <f t="shared" si="2"/>
        <v/>
      </c>
      <c r="N448" s="407">
        <f t="shared" si="3"/>
        <v>0</v>
      </c>
      <c r="O448" s="407" t="str">
        <f t="shared" si="4"/>
        <v/>
      </c>
      <c r="P448" s="1"/>
    </row>
    <row r="449" ht="12.75" customHeight="1">
      <c r="A449" s="1">
        <v>438.0</v>
      </c>
      <c r="B449" s="408" t="str">
        <f t="shared" si="5"/>
        <v/>
      </c>
      <c r="C449" s="408">
        <f t="shared" si="6"/>
        <v>0</v>
      </c>
      <c r="D449" s="408" t="str">
        <f t="shared" si="7"/>
        <v/>
      </c>
      <c r="E449" s="176" t="str">
        <f t="shared" si="8"/>
        <v/>
      </c>
      <c r="F449" s="408" t="str">
        <f t="shared" si="11"/>
        <v/>
      </c>
      <c r="G449" s="408" t="str">
        <f t="shared" si="12"/>
        <v/>
      </c>
      <c r="H449" s="410">
        <f>IF(K449&gt;='Pro Forma Detail'!D$66,'Pro Forma Detail'!D$67,'Debt ReFi'!$B$5)</f>
        <v>0.0275</v>
      </c>
      <c r="I449" s="1" t="str">
        <f t="shared" si="1"/>
        <v/>
      </c>
      <c r="J449" s="406">
        <f t="shared" si="13"/>
        <v>58958</v>
      </c>
      <c r="K449" s="105">
        <f t="shared" si="9"/>
        <v>41</v>
      </c>
      <c r="L449" s="411" t="str">
        <f t="shared" si="10"/>
        <v/>
      </c>
      <c r="M449" s="407" t="str">
        <f t="shared" si="2"/>
        <v/>
      </c>
      <c r="N449" s="407">
        <f t="shared" si="3"/>
        <v>0</v>
      </c>
      <c r="O449" s="407" t="str">
        <f t="shared" si="4"/>
        <v/>
      </c>
      <c r="P449" s="1"/>
    </row>
    <row r="450" ht="12.75" customHeight="1">
      <c r="A450" s="1">
        <v>439.0</v>
      </c>
      <c r="B450" s="408" t="str">
        <f t="shared" si="5"/>
        <v/>
      </c>
      <c r="C450" s="408">
        <f t="shared" si="6"/>
        <v>0</v>
      </c>
      <c r="D450" s="408" t="str">
        <f t="shared" si="7"/>
        <v/>
      </c>
      <c r="E450" s="176" t="str">
        <f t="shared" si="8"/>
        <v/>
      </c>
      <c r="F450" s="408" t="str">
        <f t="shared" si="11"/>
        <v/>
      </c>
      <c r="G450" s="408" t="str">
        <f t="shared" si="12"/>
        <v/>
      </c>
      <c r="H450" s="410">
        <f>IF(K450&gt;='Pro Forma Detail'!D$66,'Pro Forma Detail'!D$67,'Debt ReFi'!$B$5)</f>
        <v>0.0275</v>
      </c>
      <c r="I450" s="1" t="str">
        <f t="shared" si="1"/>
        <v/>
      </c>
      <c r="J450" s="406">
        <f t="shared" si="13"/>
        <v>58988</v>
      </c>
      <c r="K450" s="105">
        <f t="shared" si="9"/>
        <v>41</v>
      </c>
      <c r="L450" s="411" t="str">
        <f t="shared" si="10"/>
        <v/>
      </c>
      <c r="M450" s="407" t="str">
        <f t="shared" si="2"/>
        <v/>
      </c>
      <c r="N450" s="407">
        <f t="shared" si="3"/>
        <v>0</v>
      </c>
      <c r="O450" s="407" t="str">
        <f t="shared" si="4"/>
        <v/>
      </c>
      <c r="P450" s="1"/>
    </row>
    <row r="451" ht="12.75" customHeight="1">
      <c r="A451" s="1">
        <v>440.0</v>
      </c>
      <c r="B451" s="408" t="str">
        <f t="shared" si="5"/>
        <v/>
      </c>
      <c r="C451" s="408">
        <f t="shared" si="6"/>
        <v>0</v>
      </c>
      <c r="D451" s="408" t="str">
        <f t="shared" si="7"/>
        <v/>
      </c>
      <c r="E451" s="176" t="str">
        <f t="shared" si="8"/>
        <v/>
      </c>
      <c r="F451" s="408" t="str">
        <f t="shared" si="11"/>
        <v/>
      </c>
      <c r="G451" s="408" t="str">
        <f t="shared" si="12"/>
        <v/>
      </c>
      <c r="H451" s="410">
        <f>IF(K451&gt;='Pro Forma Detail'!D$66,'Pro Forma Detail'!D$67,'Debt ReFi'!$B$5)</f>
        <v>0.0275</v>
      </c>
      <c r="I451" s="1" t="str">
        <f t="shared" si="1"/>
        <v/>
      </c>
      <c r="J451" s="406">
        <f t="shared" si="13"/>
        <v>59019</v>
      </c>
      <c r="K451" s="105">
        <f t="shared" si="9"/>
        <v>41</v>
      </c>
      <c r="L451" s="411" t="str">
        <f t="shared" si="10"/>
        <v/>
      </c>
      <c r="M451" s="407" t="str">
        <f t="shared" si="2"/>
        <v/>
      </c>
      <c r="N451" s="407">
        <f t="shared" si="3"/>
        <v>0</v>
      </c>
      <c r="O451" s="407" t="str">
        <f t="shared" si="4"/>
        <v/>
      </c>
      <c r="P451" s="1"/>
    </row>
    <row r="452" ht="12.75" customHeight="1">
      <c r="A452" s="1">
        <v>441.0</v>
      </c>
      <c r="B452" s="408" t="str">
        <f t="shared" si="5"/>
        <v/>
      </c>
      <c r="C452" s="408">
        <f t="shared" si="6"/>
        <v>0</v>
      </c>
      <c r="D452" s="408" t="str">
        <f t="shared" si="7"/>
        <v/>
      </c>
      <c r="E452" s="176" t="str">
        <f t="shared" si="8"/>
        <v/>
      </c>
      <c r="F452" s="408" t="str">
        <f t="shared" si="11"/>
        <v/>
      </c>
      <c r="G452" s="408" t="str">
        <f t="shared" si="12"/>
        <v/>
      </c>
      <c r="H452" s="410">
        <f>IF(K452&gt;='Pro Forma Detail'!D$66,'Pro Forma Detail'!D$67,'Debt ReFi'!$B$5)</f>
        <v>0.0275</v>
      </c>
      <c r="I452" s="1" t="str">
        <f t="shared" si="1"/>
        <v/>
      </c>
      <c r="J452" s="406">
        <f t="shared" si="13"/>
        <v>59050</v>
      </c>
      <c r="K452" s="105">
        <f t="shared" si="9"/>
        <v>41</v>
      </c>
      <c r="L452" s="411" t="str">
        <f t="shared" si="10"/>
        <v/>
      </c>
      <c r="M452" s="407" t="str">
        <f t="shared" si="2"/>
        <v/>
      </c>
      <c r="N452" s="407">
        <f t="shared" si="3"/>
        <v>0</v>
      </c>
      <c r="O452" s="407" t="str">
        <f t="shared" si="4"/>
        <v/>
      </c>
      <c r="P452" s="1"/>
    </row>
    <row r="453" ht="12.75" customHeight="1">
      <c r="A453" s="1">
        <v>442.0</v>
      </c>
      <c r="B453" s="408" t="str">
        <f t="shared" si="5"/>
        <v/>
      </c>
      <c r="C453" s="408">
        <f t="shared" si="6"/>
        <v>0</v>
      </c>
      <c r="D453" s="408" t="str">
        <f t="shared" si="7"/>
        <v/>
      </c>
      <c r="E453" s="176" t="str">
        <f t="shared" si="8"/>
        <v/>
      </c>
      <c r="F453" s="408" t="str">
        <f t="shared" si="11"/>
        <v/>
      </c>
      <c r="G453" s="408" t="str">
        <f t="shared" si="12"/>
        <v/>
      </c>
      <c r="H453" s="410">
        <f>IF(K453&gt;='Pro Forma Detail'!D$66,'Pro Forma Detail'!D$67,'Debt ReFi'!$B$5)</f>
        <v>0.0275</v>
      </c>
      <c r="I453" s="1" t="str">
        <f t="shared" si="1"/>
        <v/>
      </c>
      <c r="J453" s="406">
        <f t="shared" si="13"/>
        <v>59080</v>
      </c>
      <c r="K453" s="105">
        <f t="shared" si="9"/>
        <v>41</v>
      </c>
      <c r="L453" s="411" t="str">
        <f t="shared" si="10"/>
        <v/>
      </c>
      <c r="M453" s="407" t="str">
        <f t="shared" si="2"/>
        <v/>
      </c>
      <c r="N453" s="407">
        <f t="shared" si="3"/>
        <v>0</v>
      </c>
      <c r="O453" s="407" t="str">
        <f t="shared" si="4"/>
        <v/>
      </c>
      <c r="P453" s="1"/>
    </row>
    <row r="454" ht="12.75" customHeight="1">
      <c r="A454" s="1">
        <v>443.0</v>
      </c>
      <c r="B454" s="408" t="str">
        <f t="shared" si="5"/>
        <v/>
      </c>
      <c r="C454" s="408">
        <f t="shared" si="6"/>
        <v>0</v>
      </c>
      <c r="D454" s="408" t="str">
        <f t="shared" si="7"/>
        <v/>
      </c>
      <c r="E454" s="176" t="str">
        <f t="shared" si="8"/>
        <v/>
      </c>
      <c r="F454" s="408" t="str">
        <f t="shared" si="11"/>
        <v/>
      </c>
      <c r="G454" s="408" t="str">
        <f t="shared" si="12"/>
        <v/>
      </c>
      <c r="H454" s="410">
        <f>IF(K454&gt;='Pro Forma Detail'!D$66,'Pro Forma Detail'!D$67,'Debt ReFi'!$B$5)</f>
        <v>0.0275</v>
      </c>
      <c r="I454" s="1" t="str">
        <f t="shared" si="1"/>
        <v/>
      </c>
      <c r="J454" s="406">
        <f t="shared" si="13"/>
        <v>59111</v>
      </c>
      <c r="K454" s="105">
        <f t="shared" si="9"/>
        <v>41</v>
      </c>
      <c r="L454" s="411" t="str">
        <f t="shared" si="10"/>
        <v/>
      </c>
      <c r="M454" s="407" t="str">
        <f t="shared" si="2"/>
        <v/>
      </c>
      <c r="N454" s="407">
        <f t="shared" si="3"/>
        <v>0</v>
      </c>
      <c r="O454" s="407" t="str">
        <f t="shared" si="4"/>
        <v/>
      </c>
      <c r="P454" s="1"/>
    </row>
    <row r="455" ht="12.75" customHeight="1">
      <c r="A455" s="1">
        <v>444.0</v>
      </c>
      <c r="B455" s="408" t="str">
        <f t="shared" si="5"/>
        <v/>
      </c>
      <c r="C455" s="408">
        <f t="shared" si="6"/>
        <v>0</v>
      </c>
      <c r="D455" s="408" t="str">
        <f t="shared" si="7"/>
        <v/>
      </c>
      <c r="E455" s="176" t="str">
        <f t="shared" si="8"/>
        <v/>
      </c>
      <c r="F455" s="408" t="str">
        <f t="shared" si="11"/>
        <v/>
      </c>
      <c r="G455" s="408" t="str">
        <f t="shared" si="12"/>
        <v/>
      </c>
      <c r="H455" s="410">
        <f>IF(K455&gt;='Pro Forma Detail'!D$66,'Pro Forma Detail'!D$67,'Debt ReFi'!$B$5)</f>
        <v>0.0275</v>
      </c>
      <c r="I455" s="1" t="str">
        <f t="shared" si="1"/>
        <v/>
      </c>
      <c r="J455" s="406">
        <f t="shared" si="13"/>
        <v>59141</v>
      </c>
      <c r="K455" s="105">
        <f t="shared" si="9"/>
        <v>41</v>
      </c>
      <c r="L455" s="411" t="str">
        <f t="shared" si="10"/>
        <v/>
      </c>
      <c r="M455" s="407" t="str">
        <f t="shared" si="2"/>
        <v/>
      </c>
      <c r="N455" s="407">
        <f t="shared" si="3"/>
        <v>0</v>
      </c>
      <c r="O455" s="407" t="str">
        <f t="shared" si="4"/>
        <v/>
      </c>
      <c r="P455" s="1"/>
    </row>
    <row r="456" ht="12.75" customHeight="1">
      <c r="A456" s="1">
        <v>445.0</v>
      </c>
      <c r="B456" s="408" t="str">
        <f t="shared" si="5"/>
        <v/>
      </c>
      <c r="C456" s="408">
        <f t="shared" si="6"/>
        <v>0</v>
      </c>
      <c r="D456" s="408" t="str">
        <f t="shared" si="7"/>
        <v/>
      </c>
      <c r="E456" s="176" t="str">
        <f t="shared" si="8"/>
        <v/>
      </c>
      <c r="F456" s="408" t="str">
        <f t="shared" si="11"/>
        <v/>
      </c>
      <c r="G456" s="408" t="str">
        <f t="shared" si="12"/>
        <v/>
      </c>
      <c r="H456" s="410">
        <f>IF(K456&gt;='Pro Forma Detail'!D$66,'Pro Forma Detail'!D$67,'Debt ReFi'!$B$5)</f>
        <v>0.0275</v>
      </c>
      <c r="I456" s="1" t="str">
        <f t="shared" si="1"/>
        <v/>
      </c>
      <c r="J456" s="406">
        <f t="shared" si="13"/>
        <v>59172</v>
      </c>
      <c r="K456" s="105">
        <f t="shared" si="9"/>
        <v>42</v>
      </c>
      <c r="L456" s="411" t="str">
        <f t="shared" si="10"/>
        <v/>
      </c>
      <c r="M456" s="407" t="str">
        <f t="shared" si="2"/>
        <v/>
      </c>
      <c r="N456" s="407">
        <f t="shared" si="3"/>
        <v>0</v>
      </c>
      <c r="O456" s="407" t="str">
        <f t="shared" si="4"/>
        <v/>
      </c>
      <c r="P456" s="1"/>
    </row>
    <row r="457" ht="12.75" customHeight="1">
      <c r="A457" s="1">
        <v>446.0</v>
      </c>
      <c r="B457" s="408" t="str">
        <f t="shared" si="5"/>
        <v/>
      </c>
      <c r="C457" s="408">
        <f t="shared" si="6"/>
        <v>0</v>
      </c>
      <c r="D457" s="408" t="str">
        <f t="shared" si="7"/>
        <v/>
      </c>
      <c r="E457" s="176" t="str">
        <f t="shared" si="8"/>
        <v/>
      </c>
      <c r="F457" s="408" t="str">
        <f t="shared" si="11"/>
        <v/>
      </c>
      <c r="G457" s="408" t="str">
        <f t="shared" si="12"/>
        <v/>
      </c>
      <c r="H457" s="410">
        <f>IF(K457&gt;='Pro Forma Detail'!D$66,'Pro Forma Detail'!D$67,'Debt ReFi'!$B$5)</f>
        <v>0.0275</v>
      </c>
      <c r="I457" s="1" t="str">
        <f t="shared" si="1"/>
        <v/>
      </c>
      <c r="J457" s="406">
        <f t="shared" si="13"/>
        <v>59203</v>
      </c>
      <c r="K457" s="105">
        <f t="shared" si="9"/>
        <v>42</v>
      </c>
      <c r="L457" s="411" t="str">
        <f t="shared" si="10"/>
        <v/>
      </c>
      <c r="M457" s="407" t="str">
        <f t="shared" si="2"/>
        <v/>
      </c>
      <c r="N457" s="407">
        <f t="shared" si="3"/>
        <v>0</v>
      </c>
      <c r="O457" s="407" t="str">
        <f t="shared" si="4"/>
        <v/>
      </c>
      <c r="P457" s="1"/>
    </row>
    <row r="458" ht="12.75" customHeight="1">
      <c r="A458" s="1">
        <v>447.0</v>
      </c>
      <c r="B458" s="408" t="str">
        <f t="shared" si="5"/>
        <v/>
      </c>
      <c r="C458" s="408">
        <f t="shared" si="6"/>
        <v>0</v>
      </c>
      <c r="D458" s="408" t="str">
        <f t="shared" si="7"/>
        <v/>
      </c>
      <c r="E458" s="176" t="str">
        <f t="shared" si="8"/>
        <v/>
      </c>
      <c r="F458" s="408" t="str">
        <f t="shared" si="11"/>
        <v/>
      </c>
      <c r="G458" s="408" t="str">
        <f t="shared" si="12"/>
        <v/>
      </c>
      <c r="H458" s="410">
        <f>IF(K458&gt;='Pro Forma Detail'!D$66,'Pro Forma Detail'!D$67,'Debt ReFi'!$B$5)</f>
        <v>0.0275</v>
      </c>
      <c r="I458" s="1" t="str">
        <f t="shared" si="1"/>
        <v/>
      </c>
      <c r="J458" s="406">
        <f t="shared" si="13"/>
        <v>59231</v>
      </c>
      <c r="K458" s="105">
        <f t="shared" si="9"/>
        <v>42</v>
      </c>
      <c r="L458" s="411" t="str">
        <f t="shared" si="10"/>
        <v/>
      </c>
      <c r="M458" s="407" t="str">
        <f t="shared" si="2"/>
        <v/>
      </c>
      <c r="N458" s="407">
        <f t="shared" si="3"/>
        <v>0</v>
      </c>
      <c r="O458" s="407" t="str">
        <f t="shared" si="4"/>
        <v/>
      </c>
      <c r="P458" s="1"/>
    </row>
    <row r="459" ht="12.75" customHeight="1">
      <c r="A459" s="1">
        <v>448.0</v>
      </c>
      <c r="B459" s="408" t="str">
        <f t="shared" si="5"/>
        <v/>
      </c>
      <c r="C459" s="408">
        <f t="shared" si="6"/>
        <v>0</v>
      </c>
      <c r="D459" s="408" t="str">
        <f t="shared" si="7"/>
        <v/>
      </c>
      <c r="E459" s="176" t="str">
        <f t="shared" si="8"/>
        <v/>
      </c>
      <c r="F459" s="408" t="str">
        <f t="shared" si="11"/>
        <v/>
      </c>
      <c r="G459" s="408" t="str">
        <f t="shared" si="12"/>
        <v/>
      </c>
      <c r="H459" s="410">
        <f>IF(K459&gt;='Pro Forma Detail'!D$66,'Pro Forma Detail'!D$67,'Debt ReFi'!$B$5)</f>
        <v>0.0275</v>
      </c>
      <c r="I459" s="1" t="str">
        <f t="shared" si="1"/>
        <v/>
      </c>
      <c r="J459" s="406">
        <f t="shared" si="13"/>
        <v>59262</v>
      </c>
      <c r="K459" s="105">
        <f t="shared" si="9"/>
        <v>42</v>
      </c>
      <c r="L459" s="411" t="str">
        <f t="shared" si="10"/>
        <v/>
      </c>
      <c r="M459" s="407" t="str">
        <f t="shared" si="2"/>
        <v/>
      </c>
      <c r="N459" s="407">
        <f t="shared" si="3"/>
        <v>0</v>
      </c>
      <c r="O459" s="407" t="str">
        <f t="shared" si="4"/>
        <v/>
      </c>
      <c r="P459" s="1"/>
    </row>
    <row r="460" ht="12.75" customHeight="1">
      <c r="A460" s="1">
        <v>449.0</v>
      </c>
      <c r="B460" s="408" t="str">
        <f t="shared" si="5"/>
        <v/>
      </c>
      <c r="C460" s="408">
        <f t="shared" si="6"/>
        <v>0</v>
      </c>
      <c r="D460" s="408" t="str">
        <f t="shared" si="7"/>
        <v/>
      </c>
      <c r="E460" s="176" t="str">
        <f t="shared" si="8"/>
        <v/>
      </c>
      <c r="F460" s="408" t="str">
        <f t="shared" si="11"/>
        <v/>
      </c>
      <c r="G460" s="408" t="str">
        <f t="shared" si="12"/>
        <v/>
      </c>
      <c r="H460" s="410">
        <f>IF(K460&gt;='Pro Forma Detail'!D$66,'Pro Forma Detail'!D$67,'Debt ReFi'!$B$5)</f>
        <v>0.0275</v>
      </c>
      <c r="I460" s="1" t="str">
        <f t="shared" si="1"/>
        <v/>
      </c>
      <c r="J460" s="406">
        <f t="shared" si="13"/>
        <v>59292</v>
      </c>
      <c r="K460" s="105">
        <f t="shared" si="9"/>
        <v>42</v>
      </c>
      <c r="L460" s="411" t="str">
        <f t="shared" si="10"/>
        <v/>
      </c>
      <c r="M460" s="407" t="str">
        <f t="shared" si="2"/>
        <v/>
      </c>
      <c r="N460" s="407">
        <f t="shared" si="3"/>
        <v>0</v>
      </c>
      <c r="O460" s="407" t="str">
        <f t="shared" si="4"/>
        <v/>
      </c>
      <c r="P460" s="1"/>
    </row>
    <row r="461" ht="12.75" customHeight="1">
      <c r="A461" s="1">
        <v>450.0</v>
      </c>
      <c r="B461" s="408" t="str">
        <f t="shared" si="5"/>
        <v/>
      </c>
      <c r="C461" s="408">
        <f t="shared" si="6"/>
        <v>0</v>
      </c>
      <c r="D461" s="408" t="str">
        <f t="shared" si="7"/>
        <v/>
      </c>
      <c r="E461" s="176" t="str">
        <f t="shared" si="8"/>
        <v/>
      </c>
      <c r="F461" s="408" t="str">
        <f t="shared" si="11"/>
        <v/>
      </c>
      <c r="G461" s="408" t="str">
        <f t="shared" si="12"/>
        <v/>
      </c>
      <c r="H461" s="410">
        <f>IF(K461&gt;='Pro Forma Detail'!D$66,'Pro Forma Detail'!D$67,'Debt ReFi'!$B$5)</f>
        <v>0.0275</v>
      </c>
      <c r="I461" s="1" t="str">
        <f t="shared" si="1"/>
        <v/>
      </c>
      <c r="J461" s="406">
        <f t="shared" si="13"/>
        <v>59323</v>
      </c>
      <c r="K461" s="105">
        <f t="shared" si="9"/>
        <v>42</v>
      </c>
      <c r="L461" s="411" t="str">
        <f t="shared" si="10"/>
        <v/>
      </c>
      <c r="M461" s="407" t="str">
        <f t="shared" si="2"/>
        <v/>
      </c>
      <c r="N461" s="407">
        <f t="shared" si="3"/>
        <v>0</v>
      </c>
      <c r="O461" s="407" t="str">
        <f t="shared" si="4"/>
        <v/>
      </c>
      <c r="P461" s="1"/>
    </row>
    <row r="462" ht="12.75" customHeight="1">
      <c r="A462" s="1">
        <v>451.0</v>
      </c>
      <c r="B462" s="408" t="str">
        <f t="shared" si="5"/>
        <v/>
      </c>
      <c r="C462" s="408">
        <f t="shared" si="6"/>
        <v>0</v>
      </c>
      <c r="D462" s="408" t="str">
        <f t="shared" si="7"/>
        <v/>
      </c>
      <c r="E462" s="176" t="str">
        <f t="shared" si="8"/>
        <v/>
      </c>
      <c r="F462" s="408" t="str">
        <f t="shared" si="11"/>
        <v/>
      </c>
      <c r="G462" s="408" t="str">
        <f t="shared" si="12"/>
        <v/>
      </c>
      <c r="H462" s="410">
        <f>IF(K462&gt;='Pro Forma Detail'!D$66,'Pro Forma Detail'!D$67,'Debt ReFi'!$B$5)</f>
        <v>0.0275</v>
      </c>
      <c r="I462" s="1" t="str">
        <f t="shared" si="1"/>
        <v/>
      </c>
      <c r="J462" s="406">
        <f t="shared" si="13"/>
        <v>59353</v>
      </c>
      <c r="K462" s="105">
        <f t="shared" si="9"/>
        <v>42</v>
      </c>
      <c r="L462" s="411" t="str">
        <f t="shared" si="10"/>
        <v/>
      </c>
      <c r="M462" s="407" t="str">
        <f t="shared" si="2"/>
        <v/>
      </c>
      <c r="N462" s="407">
        <f t="shared" si="3"/>
        <v>0</v>
      </c>
      <c r="O462" s="407" t="str">
        <f t="shared" si="4"/>
        <v/>
      </c>
      <c r="P462" s="1"/>
    </row>
    <row r="463" ht="12.75" customHeight="1">
      <c r="A463" s="1">
        <v>452.0</v>
      </c>
      <c r="B463" s="408" t="str">
        <f t="shared" si="5"/>
        <v/>
      </c>
      <c r="C463" s="408">
        <f t="shared" si="6"/>
        <v>0</v>
      </c>
      <c r="D463" s="408" t="str">
        <f t="shared" si="7"/>
        <v/>
      </c>
      <c r="E463" s="176" t="str">
        <f t="shared" si="8"/>
        <v/>
      </c>
      <c r="F463" s="408" t="str">
        <f t="shared" si="11"/>
        <v/>
      </c>
      <c r="G463" s="408" t="str">
        <f t="shared" si="12"/>
        <v/>
      </c>
      <c r="H463" s="410">
        <f>IF(K463&gt;='Pro Forma Detail'!D$66,'Pro Forma Detail'!D$67,'Debt ReFi'!$B$5)</f>
        <v>0.0275</v>
      </c>
      <c r="I463" s="1" t="str">
        <f t="shared" si="1"/>
        <v/>
      </c>
      <c r="J463" s="406">
        <f t="shared" si="13"/>
        <v>59384</v>
      </c>
      <c r="K463" s="105">
        <f t="shared" si="9"/>
        <v>42</v>
      </c>
      <c r="L463" s="411" t="str">
        <f t="shared" si="10"/>
        <v/>
      </c>
      <c r="M463" s="407" t="str">
        <f t="shared" si="2"/>
        <v/>
      </c>
      <c r="N463" s="407">
        <f t="shared" si="3"/>
        <v>0</v>
      </c>
      <c r="O463" s="407" t="str">
        <f t="shared" si="4"/>
        <v/>
      </c>
      <c r="P463" s="1"/>
    </row>
    <row r="464" ht="12.75" customHeight="1">
      <c r="A464" s="1">
        <v>453.0</v>
      </c>
      <c r="B464" s="408" t="str">
        <f t="shared" si="5"/>
        <v/>
      </c>
      <c r="C464" s="408">
        <f t="shared" si="6"/>
        <v>0</v>
      </c>
      <c r="D464" s="408" t="str">
        <f t="shared" si="7"/>
        <v/>
      </c>
      <c r="E464" s="176" t="str">
        <f t="shared" si="8"/>
        <v/>
      </c>
      <c r="F464" s="408" t="str">
        <f t="shared" si="11"/>
        <v/>
      </c>
      <c r="G464" s="408" t="str">
        <f t="shared" si="12"/>
        <v/>
      </c>
      <c r="H464" s="410">
        <f>IF(K464&gt;='Pro Forma Detail'!D$66,'Pro Forma Detail'!D$67,'Debt ReFi'!$B$5)</f>
        <v>0.0275</v>
      </c>
      <c r="I464" s="1" t="str">
        <f t="shared" si="1"/>
        <v/>
      </c>
      <c r="J464" s="406">
        <f t="shared" si="13"/>
        <v>59415</v>
      </c>
      <c r="K464" s="105">
        <f t="shared" si="9"/>
        <v>42</v>
      </c>
      <c r="L464" s="411" t="str">
        <f t="shared" si="10"/>
        <v/>
      </c>
      <c r="M464" s="407" t="str">
        <f t="shared" si="2"/>
        <v/>
      </c>
      <c r="N464" s="407">
        <f t="shared" si="3"/>
        <v>0</v>
      </c>
      <c r="O464" s="407" t="str">
        <f t="shared" si="4"/>
        <v/>
      </c>
      <c r="P464" s="1"/>
    </row>
    <row r="465" ht="12.75" customHeight="1">
      <c r="A465" s="1">
        <v>454.0</v>
      </c>
      <c r="B465" s="408" t="str">
        <f t="shared" si="5"/>
        <v/>
      </c>
      <c r="C465" s="408">
        <f t="shared" si="6"/>
        <v>0</v>
      </c>
      <c r="D465" s="408" t="str">
        <f t="shared" si="7"/>
        <v/>
      </c>
      <c r="E465" s="176" t="str">
        <f t="shared" si="8"/>
        <v/>
      </c>
      <c r="F465" s="408" t="str">
        <f t="shared" si="11"/>
        <v/>
      </c>
      <c r="G465" s="408" t="str">
        <f t="shared" si="12"/>
        <v/>
      </c>
      <c r="H465" s="410">
        <f>IF(K465&gt;='Pro Forma Detail'!D$66,'Pro Forma Detail'!D$67,'Debt ReFi'!$B$5)</f>
        <v>0.0275</v>
      </c>
      <c r="I465" s="1" t="str">
        <f t="shared" si="1"/>
        <v/>
      </c>
      <c r="J465" s="406">
        <f t="shared" si="13"/>
        <v>59445</v>
      </c>
      <c r="K465" s="105">
        <f t="shared" si="9"/>
        <v>42</v>
      </c>
      <c r="L465" s="411" t="str">
        <f t="shared" si="10"/>
        <v/>
      </c>
      <c r="M465" s="407" t="str">
        <f t="shared" si="2"/>
        <v/>
      </c>
      <c r="N465" s="407">
        <f t="shared" si="3"/>
        <v>0</v>
      </c>
      <c r="O465" s="407" t="str">
        <f t="shared" si="4"/>
        <v/>
      </c>
      <c r="P465" s="1"/>
    </row>
    <row r="466" ht="12.75" customHeight="1">
      <c r="A466" s="1">
        <v>455.0</v>
      </c>
      <c r="B466" s="408" t="str">
        <f t="shared" si="5"/>
        <v/>
      </c>
      <c r="C466" s="408">
        <f t="shared" si="6"/>
        <v>0</v>
      </c>
      <c r="D466" s="408" t="str">
        <f t="shared" si="7"/>
        <v/>
      </c>
      <c r="E466" s="176" t="str">
        <f t="shared" si="8"/>
        <v/>
      </c>
      <c r="F466" s="408" t="str">
        <f t="shared" si="11"/>
        <v/>
      </c>
      <c r="G466" s="408" t="str">
        <f t="shared" si="12"/>
        <v/>
      </c>
      <c r="H466" s="410">
        <f>IF(K466&gt;='Pro Forma Detail'!D$66,'Pro Forma Detail'!D$67,'Debt ReFi'!$B$5)</f>
        <v>0.0275</v>
      </c>
      <c r="I466" s="1" t="str">
        <f t="shared" si="1"/>
        <v/>
      </c>
      <c r="J466" s="406">
        <f t="shared" si="13"/>
        <v>59476</v>
      </c>
      <c r="K466" s="105">
        <f t="shared" si="9"/>
        <v>42</v>
      </c>
      <c r="L466" s="411" t="str">
        <f t="shared" si="10"/>
        <v/>
      </c>
      <c r="M466" s="407" t="str">
        <f t="shared" si="2"/>
        <v/>
      </c>
      <c r="N466" s="407">
        <f t="shared" si="3"/>
        <v>0</v>
      </c>
      <c r="O466" s="407" t="str">
        <f t="shared" si="4"/>
        <v/>
      </c>
      <c r="P466" s="1"/>
    </row>
    <row r="467" ht="12.75" customHeight="1">
      <c r="A467" s="1">
        <v>456.0</v>
      </c>
      <c r="B467" s="408" t="str">
        <f t="shared" si="5"/>
        <v/>
      </c>
      <c r="C467" s="408">
        <f t="shared" si="6"/>
        <v>0</v>
      </c>
      <c r="D467" s="408" t="str">
        <f t="shared" si="7"/>
        <v/>
      </c>
      <c r="E467" s="176" t="str">
        <f t="shared" si="8"/>
        <v/>
      </c>
      <c r="F467" s="408" t="str">
        <f t="shared" si="11"/>
        <v/>
      </c>
      <c r="G467" s="408" t="str">
        <f t="shared" si="12"/>
        <v/>
      </c>
      <c r="H467" s="410">
        <f>IF(K467&gt;='Pro Forma Detail'!D$66,'Pro Forma Detail'!D$67,'Debt ReFi'!$B$5)</f>
        <v>0.0275</v>
      </c>
      <c r="I467" s="1" t="str">
        <f t="shared" si="1"/>
        <v/>
      </c>
      <c r="J467" s="406">
        <f t="shared" si="13"/>
        <v>59506</v>
      </c>
      <c r="K467" s="105">
        <f t="shared" si="9"/>
        <v>42</v>
      </c>
      <c r="L467" s="411" t="str">
        <f t="shared" si="10"/>
        <v/>
      </c>
      <c r="M467" s="407" t="str">
        <f t="shared" si="2"/>
        <v/>
      </c>
      <c r="N467" s="407">
        <f t="shared" si="3"/>
        <v>0</v>
      </c>
      <c r="O467" s="407" t="str">
        <f t="shared" si="4"/>
        <v/>
      </c>
      <c r="P467" s="1"/>
    </row>
    <row r="468" ht="12.75" customHeight="1">
      <c r="A468" s="1">
        <v>457.0</v>
      </c>
      <c r="B468" s="408" t="str">
        <f t="shared" si="5"/>
        <v/>
      </c>
      <c r="C468" s="408">
        <f t="shared" si="6"/>
        <v>0</v>
      </c>
      <c r="D468" s="408" t="str">
        <f t="shared" si="7"/>
        <v/>
      </c>
      <c r="E468" s="176" t="str">
        <f t="shared" si="8"/>
        <v/>
      </c>
      <c r="F468" s="408" t="str">
        <f t="shared" si="11"/>
        <v/>
      </c>
      <c r="G468" s="408" t="str">
        <f t="shared" si="12"/>
        <v/>
      </c>
      <c r="H468" s="410">
        <f>IF(K468&gt;='Pro Forma Detail'!D$66,'Pro Forma Detail'!D$67,'Debt ReFi'!$B$5)</f>
        <v>0.0275</v>
      </c>
      <c r="I468" s="1" t="str">
        <f t="shared" si="1"/>
        <v/>
      </c>
      <c r="J468" s="406">
        <f t="shared" si="13"/>
        <v>59537</v>
      </c>
      <c r="K468" s="105">
        <f t="shared" si="9"/>
        <v>43</v>
      </c>
      <c r="L468" s="411" t="str">
        <f t="shared" si="10"/>
        <v/>
      </c>
      <c r="M468" s="407" t="str">
        <f t="shared" si="2"/>
        <v/>
      </c>
      <c r="N468" s="407">
        <f t="shared" si="3"/>
        <v>0</v>
      </c>
      <c r="O468" s="407" t="str">
        <f t="shared" si="4"/>
        <v/>
      </c>
      <c r="P468" s="1"/>
    </row>
    <row r="469" ht="12.75" customHeight="1">
      <c r="A469" s="1">
        <v>458.0</v>
      </c>
      <c r="B469" s="408" t="str">
        <f t="shared" si="5"/>
        <v/>
      </c>
      <c r="C469" s="408">
        <f t="shared" si="6"/>
        <v>0</v>
      </c>
      <c r="D469" s="408" t="str">
        <f t="shared" si="7"/>
        <v/>
      </c>
      <c r="E469" s="176" t="str">
        <f t="shared" si="8"/>
        <v/>
      </c>
      <c r="F469" s="408" t="str">
        <f t="shared" si="11"/>
        <v/>
      </c>
      <c r="G469" s="408" t="str">
        <f t="shared" si="12"/>
        <v/>
      </c>
      <c r="H469" s="410">
        <f>IF(K469&gt;='Pro Forma Detail'!D$66,'Pro Forma Detail'!D$67,'Debt ReFi'!$B$5)</f>
        <v>0.0275</v>
      </c>
      <c r="I469" s="1" t="str">
        <f t="shared" si="1"/>
        <v/>
      </c>
      <c r="J469" s="406">
        <f t="shared" si="13"/>
        <v>59568</v>
      </c>
      <c r="K469" s="105">
        <f t="shared" si="9"/>
        <v>43</v>
      </c>
      <c r="L469" s="411" t="str">
        <f t="shared" si="10"/>
        <v/>
      </c>
      <c r="M469" s="407" t="str">
        <f t="shared" si="2"/>
        <v/>
      </c>
      <c r="N469" s="407">
        <f t="shared" si="3"/>
        <v>0</v>
      </c>
      <c r="O469" s="407" t="str">
        <f t="shared" si="4"/>
        <v/>
      </c>
      <c r="P469" s="1"/>
    </row>
    <row r="470" ht="12.75" customHeight="1">
      <c r="A470" s="1">
        <v>459.0</v>
      </c>
      <c r="B470" s="408" t="str">
        <f t="shared" si="5"/>
        <v/>
      </c>
      <c r="C470" s="408">
        <f t="shared" si="6"/>
        <v>0</v>
      </c>
      <c r="D470" s="408" t="str">
        <f t="shared" si="7"/>
        <v/>
      </c>
      <c r="E470" s="176" t="str">
        <f t="shared" si="8"/>
        <v/>
      </c>
      <c r="F470" s="408" t="str">
        <f t="shared" si="11"/>
        <v/>
      </c>
      <c r="G470" s="408" t="str">
        <f t="shared" si="12"/>
        <v/>
      </c>
      <c r="H470" s="410">
        <f>IF(K470&gt;='Pro Forma Detail'!D$66,'Pro Forma Detail'!D$67,'Debt ReFi'!$B$5)</f>
        <v>0.0275</v>
      </c>
      <c r="I470" s="1" t="str">
        <f t="shared" si="1"/>
        <v/>
      </c>
      <c r="J470" s="406">
        <f t="shared" si="13"/>
        <v>59596</v>
      </c>
      <c r="K470" s="105">
        <f t="shared" si="9"/>
        <v>43</v>
      </c>
      <c r="L470" s="411" t="str">
        <f t="shared" si="10"/>
        <v/>
      </c>
      <c r="M470" s="407" t="str">
        <f t="shared" si="2"/>
        <v/>
      </c>
      <c r="N470" s="407">
        <f t="shared" si="3"/>
        <v>0</v>
      </c>
      <c r="O470" s="407" t="str">
        <f t="shared" si="4"/>
        <v/>
      </c>
      <c r="P470" s="1"/>
    </row>
    <row r="471" ht="12.75" customHeight="1">
      <c r="A471" s="1">
        <v>460.0</v>
      </c>
      <c r="B471" s="408" t="str">
        <f t="shared" si="5"/>
        <v/>
      </c>
      <c r="C471" s="408">
        <f t="shared" si="6"/>
        <v>0</v>
      </c>
      <c r="D471" s="408" t="str">
        <f t="shared" si="7"/>
        <v/>
      </c>
      <c r="E471" s="176" t="str">
        <f t="shared" si="8"/>
        <v/>
      </c>
      <c r="F471" s="408" t="str">
        <f t="shared" si="11"/>
        <v/>
      </c>
      <c r="G471" s="408" t="str">
        <f t="shared" si="12"/>
        <v/>
      </c>
      <c r="H471" s="410">
        <f>IF(K471&gt;='Pro Forma Detail'!D$66,'Pro Forma Detail'!D$67,'Debt ReFi'!$B$5)</f>
        <v>0.0275</v>
      </c>
      <c r="I471" s="1" t="str">
        <f t="shared" si="1"/>
        <v/>
      </c>
      <c r="J471" s="406">
        <f t="shared" si="13"/>
        <v>59627</v>
      </c>
      <c r="K471" s="105">
        <f t="shared" si="9"/>
        <v>43</v>
      </c>
      <c r="L471" s="411" t="str">
        <f t="shared" si="10"/>
        <v/>
      </c>
      <c r="M471" s="407" t="str">
        <f t="shared" si="2"/>
        <v/>
      </c>
      <c r="N471" s="407">
        <f t="shared" si="3"/>
        <v>0</v>
      </c>
      <c r="O471" s="407" t="str">
        <f t="shared" si="4"/>
        <v/>
      </c>
      <c r="P471" s="1"/>
    </row>
    <row r="472" ht="12.75" customHeight="1">
      <c r="A472" s="1">
        <v>461.0</v>
      </c>
      <c r="B472" s="408" t="str">
        <f t="shared" si="5"/>
        <v/>
      </c>
      <c r="C472" s="408">
        <f t="shared" si="6"/>
        <v>0</v>
      </c>
      <c r="D472" s="408" t="str">
        <f t="shared" si="7"/>
        <v/>
      </c>
      <c r="E472" s="176" t="str">
        <f t="shared" si="8"/>
        <v/>
      </c>
      <c r="F472" s="408" t="str">
        <f t="shared" si="11"/>
        <v/>
      </c>
      <c r="G472" s="408" t="str">
        <f t="shared" si="12"/>
        <v/>
      </c>
      <c r="H472" s="410">
        <f>IF(K472&gt;='Pro Forma Detail'!D$66,'Pro Forma Detail'!D$67,'Debt ReFi'!$B$5)</f>
        <v>0.0275</v>
      </c>
      <c r="I472" s="1" t="str">
        <f t="shared" si="1"/>
        <v/>
      </c>
      <c r="J472" s="406">
        <f t="shared" si="13"/>
        <v>59657</v>
      </c>
      <c r="K472" s="105">
        <f t="shared" si="9"/>
        <v>43</v>
      </c>
      <c r="L472" s="411" t="str">
        <f t="shared" si="10"/>
        <v/>
      </c>
      <c r="M472" s="407" t="str">
        <f t="shared" si="2"/>
        <v/>
      </c>
      <c r="N472" s="407">
        <f t="shared" si="3"/>
        <v>0</v>
      </c>
      <c r="O472" s="407" t="str">
        <f t="shared" si="4"/>
        <v/>
      </c>
      <c r="P472" s="1"/>
    </row>
    <row r="473" ht="12.75" customHeight="1">
      <c r="A473" s="1">
        <v>462.0</v>
      </c>
      <c r="B473" s="408" t="str">
        <f t="shared" si="5"/>
        <v/>
      </c>
      <c r="C473" s="408">
        <f t="shared" si="6"/>
        <v>0</v>
      </c>
      <c r="D473" s="408" t="str">
        <f t="shared" si="7"/>
        <v/>
      </c>
      <c r="E473" s="176" t="str">
        <f t="shared" si="8"/>
        <v/>
      </c>
      <c r="F473" s="408" t="str">
        <f t="shared" si="11"/>
        <v/>
      </c>
      <c r="G473" s="408" t="str">
        <f t="shared" si="12"/>
        <v/>
      </c>
      <c r="H473" s="410">
        <f>IF(K473&gt;='Pro Forma Detail'!D$66,'Pro Forma Detail'!D$67,'Debt ReFi'!$B$5)</f>
        <v>0.0275</v>
      </c>
      <c r="I473" s="1" t="str">
        <f t="shared" si="1"/>
        <v/>
      </c>
      <c r="J473" s="406">
        <f t="shared" si="13"/>
        <v>59688</v>
      </c>
      <c r="K473" s="105">
        <f t="shared" si="9"/>
        <v>43</v>
      </c>
      <c r="L473" s="411" t="str">
        <f t="shared" si="10"/>
        <v/>
      </c>
      <c r="M473" s="407" t="str">
        <f t="shared" si="2"/>
        <v/>
      </c>
      <c r="N473" s="407">
        <f t="shared" si="3"/>
        <v>0</v>
      </c>
      <c r="O473" s="407" t="str">
        <f t="shared" si="4"/>
        <v/>
      </c>
      <c r="P473" s="1"/>
    </row>
    <row r="474" ht="12.75" customHeight="1">
      <c r="A474" s="1">
        <v>463.0</v>
      </c>
      <c r="B474" s="408" t="str">
        <f t="shared" si="5"/>
        <v/>
      </c>
      <c r="C474" s="408">
        <f t="shared" si="6"/>
        <v>0</v>
      </c>
      <c r="D474" s="408" t="str">
        <f t="shared" si="7"/>
        <v/>
      </c>
      <c r="E474" s="176" t="str">
        <f t="shared" si="8"/>
        <v/>
      </c>
      <c r="F474" s="408" t="str">
        <f t="shared" si="11"/>
        <v/>
      </c>
      <c r="G474" s="408" t="str">
        <f t="shared" si="12"/>
        <v/>
      </c>
      <c r="H474" s="410">
        <f>IF(K474&gt;='Pro Forma Detail'!D$66,'Pro Forma Detail'!D$67,'Debt ReFi'!$B$5)</f>
        <v>0.0275</v>
      </c>
      <c r="I474" s="1" t="str">
        <f t="shared" si="1"/>
        <v/>
      </c>
      <c r="J474" s="406">
        <f t="shared" si="13"/>
        <v>59718</v>
      </c>
      <c r="K474" s="105">
        <f t="shared" si="9"/>
        <v>43</v>
      </c>
      <c r="L474" s="411" t="str">
        <f t="shared" si="10"/>
        <v/>
      </c>
      <c r="M474" s="407" t="str">
        <f t="shared" si="2"/>
        <v/>
      </c>
      <c r="N474" s="407">
        <f t="shared" si="3"/>
        <v>0</v>
      </c>
      <c r="O474" s="407" t="str">
        <f t="shared" si="4"/>
        <v/>
      </c>
      <c r="P474" s="1"/>
    </row>
    <row r="475" ht="12.75" customHeight="1">
      <c r="A475" s="1">
        <v>464.0</v>
      </c>
      <c r="B475" s="408" t="str">
        <f t="shared" si="5"/>
        <v/>
      </c>
      <c r="C475" s="408">
        <f t="shared" si="6"/>
        <v>0</v>
      </c>
      <c r="D475" s="408" t="str">
        <f t="shared" si="7"/>
        <v/>
      </c>
      <c r="E475" s="176" t="str">
        <f t="shared" si="8"/>
        <v/>
      </c>
      <c r="F475" s="408" t="str">
        <f t="shared" si="11"/>
        <v/>
      </c>
      <c r="G475" s="408" t="str">
        <f t="shared" si="12"/>
        <v/>
      </c>
      <c r="H475" s="410">
        <f>IF(K475&gt;='Pro Forma Detail'!D$66,'Pro Forma Detail'!D$67,'Debt ReFi'!$B$5)</f>
        <v>0.0275</v>
      </c>
      <c r="I475" s="1" t="str">
        <f t="shared" si="1"/>
        <v/>
      </c>
      <c r="J475" s="406">
        <f t="shared" si="13"/>
        <v>59749</v>
      </c>
      <c r="K475" s="105">
        <f t="shared" si="9"/>
        <v>43</v>
      </c>
      <c r="L475" s="411" t="str">
        <f t="shared" si="10"/>
        <v/>
      </c>
      <c r="M475" s="407" t="str">
        <f t="shared" si="2"/>
        <v/>
      </c>
      <c r="N475" s="407">
        <f t="shared" si="3"/>
        <v>0</v>
      </c>
      <c r="O475" s="407" t="str">
        <f t="shared" si="4"/>
        <v/>
      </c>
      <c r="P475" s="1"/>
    </row>
    <row r="476" ht="12.75" customHeight="1">
      <c r="A476" s="1">
        <v>465.0</v>
      </c>
      <c r="B476" s="408" t="str">
        <f t="shared" si="5"/>
        <v/>
      </c>
      <c r="C476" s="408">
        <f t="shared" si="6"/>
        <v>0</v>
      </c>
      <c r="D476" s="408" t="str">
        <f t="shared" si="7"/>
        <v/>
      </c>
      <c r="E476" s="176" t="str">
        <f t="shared" si="8"/>
        <v/>
      </c>
      <c r="F476" s="408" t="str">
        <f t="shared" si="11"/>
        <v/>
      </c>
      <c r="G476" s="408" t="str">
        <f t="shared" si="12"/>
        <v/>
      </c>
      <c r="H476" s="410">
        <f>IF(K476&gt;='Pro Forma Detail'!D$66,'Pro Forma Detail'!D$67,'Debt ReFi'!$B$5)</f>
        <v>0.0275</v>
      </c>
      <c r="I476" s="1" t="str">
        <f t="shared" si="1"/>
        <v/>
      </c>
      <c r="J476" s="406">
        <f t="shared" si="13"/>
        <v>59780</v>
      </c>
      <c r="K476" s="105">
        <f t="shared" si="9"/>
        <v>43</v>
      </c>
      <c r="L476" s="411" t="str">
        <f t="shared" si="10"/>
        <v/>
      </c>
      <c r="M476" s="407" t="str">
        <f t="shared" si="2"/>
        <v/>
      </c>
      <c r="N476" s="407">
        <f t="shared" si="3"/>
        <v>0</v>
      </c>
      <c r="O476" s="407" t="str">
        <f t="shared" si="4"/>
        <v/>
      </c>
      <c r="P476" s="1"/>
    </row>
    <row r="477" ht="12.75" customHeight="1">
      <c r="A477" s="1">
        <v>466.0</v>
      </c>
      <c r="B477" s="408" t="str">
        <f t="shared" si="5"/>
        <v/>
      </c>
      <c r="C477" s="408">
        <f t="shared" si="6"/>
        <v>0</v>
      </c>
      <c r="D477" s="408" t="str">
        <f t="shared" si="7"/>
        <v/>
      </c>
      <c r="E477" s="176" t="str">
        <f t="shared" si="8"/>
        <v/>
      </c>
      <c r="F477" s="408" t="str">
        <f t="shared" si="11"/>
        <v/>
      </c>
      <c r="G477" s="408" t="str">
        <f t="shared" si="12"/>
        <v/>
      </c>
      <c r="H477" s="410">
        <f>IF(K477&gt;='Pro Forma Detail'!D$66,'Pro Forma Detail'!D$67,'Debt ReFi'!$B$5)</f>
        <v>0.0275</v>
      </c>
      <c r="I477" s="1" t="str">
        <f t="shared" si="1"/>
        <v/>
      </c>
      <c r="J477" s="406">
        <f t="shared" si="13"/>
        <v>59810</v>
      </c>
      <c r="K477" s="105">
        <f t="shared" si="9"/>
        <v>43</v>
      </c>
      <c r="L477" s="411" t="str">
        <f t="shared" si="10"/>
        <v/>
      </c>
      <c r="M477" s="407" t="str">
        <f t="shared" si="2"/>
        <v/>
      </c>
      <c r="N477" s="407">
        <f t="shared" si="3"/>
        <v>0</v>
      </c>
      <c r="O477" s="407" t="str">
        <f t="shared" si="4"/>
        <v/>
      </c>
      <c r="P477" s="1"/>
    </row>
    <row r="478" ht="12.75" customHeight="1">
      <c r="A478" s="1">
        <v>467.0</v>
      </c>
      <c r="B478" s="408" t="str">
        <f t="shared" si="5"/>
        <v/>
      </c>
      <c r="C478" s="408">
        <f t="shared" si="6"/>
        <v>0</v>
      </c>
      <c r="D478" s="408" t="str">
        <f t="shared" si="7"/>
        <v/>
      </c>
      <c r="E478" s="176" t="str">
        <f t="shared" si="8"/>
        <v/>
      </c>
      <c r="F478" s="408" t="str">
        <f t="shared" si="11"/>
        <v/>
      </c>
      <c r="G478" s="408" t="str">
        <f t="shared" si="12"/>
        <v/>
      </c>
      <c r="H478" s="410">
        <f>IF(K478&gt;='Pro Forma Detail'!D$66,'Pro Forma Detail'!D$67,'Debt ReFi'!$B$5)</f>
        <v>0.0275</v>
      </c>
      <c r="I478" s="1" t="str">
        <f t="shared" si="1"/>
        <v/>
      </c>
      <c r="J478" s="406">
        <f t="shared" si="13"/>
        <v>59841</v>
      </c>
      <c r="K478" s="105">
        <f t="shared" si="9"/>
        <v>43</v>
      </c>
      <c r="L478" s="411" t="str">
        <f t="shared" si="10"/>
        <v/>
      </c>
      <c r="M478" s="407" t="str">
        <f t="shared" si="2"/>
        <v/>
      </c>
      <c r="N478" s="407">
        <f t="shared" si="3"/>
        <v>0</v>
      </c>
      <c r="O478" s="407" t="str">
        <f t="shared" si="4"/>
        <v/>
      </c>
      <c r="P478" s="1"/>
    </row>
    <row r="479" ht="12.75" customHeight="1">
      <c r="A479" s="1">
        <v>468.0</v>
      </c>
      <c r="B479" s="408" t="str">
        <f t="shared" si="5"/>
        <v/>
      </c>
      <c r="C479" s="408">
        <f t="shared" si="6"/>
        <v>0</v>
      </c>
      <c r="D479" s="408" t="str">
        <f t="shared" si="7"/>
        <v/>
      </c>
      <c r="E479" s="176" t="str">
        <f t="shared" si="8"/>
        <v/>
      </c>
      <c r="F479" s="408" t="str">
        <f t="shared" si="11"/>
        <v/>
      </c>
      <c r="G479" s="408" t="str">
        <f t="shared" si="12"/>
        <v/>
      </c>
      <c r="H479" s="410">
        <f>IF(K479&gt;='Pro Forma Detail'!D$66,'Pro Forma Detail'!D$67,'Debt ReFi'!$B$5)</f>
        <v>0.0275</v>
      </c>
      <c r="I479" s="1" t="str">
        <f t="shared" si="1"/>
        <v/>
      </c>
      <c r="J479" s="406">
        <f t="shared" si="13"/>
        <v>59871</v>
      </c>
      <c r="K479" s="105">
        <f t="shared" si="9"/>
        <v>43</v>
      </c>
      <c r="L479" s="411" t="str">
        <f t="shared" si="10"/>
        <v/>
      </c>
      <c r="M479" s="407" t="str">
        <f t="shared" si="2"/>
        <v/>
      </c>
      <c r="N479" s="407">
        <f t="shared" si="3"/>
        <v>0</v>
      </c>
      <c r="O479" s="407" t="str">
        <f t="shared" si="4"/>
        <v/>
      </c>
      <c r="P479" s="1"/>
    </row>
    <row r="480" ht="12.75" customHeight="1">
      <c r="A480" s="1">
        <v>469.0</v>
      </c>
      <c r="B480" s="408" t="str">
        <f t="shared" si="5"/>
        <v/>
      </c>
      <c r="C480" s="408">
        <f t="shared" si="6"/>
        <v>0</v>
      </c>
      <c r="D480" s="408" t="str">
        <f t="shared" si="7"/>
        <v/>
      </c>
      <c r="E480" s="176" t="str">
        <f t="shared" si="8"/>
        <v/>
      </c>
      <c r="F480" s="408" t="str">
        <f t="shared" si="11"/>
        <v/>
      </c>
      <c r="G480" s="408" t="str">
        <f t="shared" si="12"/>
        <v/>
      </c>
      <c r="H480" s="410">
        <f>IF(K480&gt;='Pro Forma Detail'!D$66,'Pro Forma Detail'!D$67,'Debt ReFi'!$B$5)</f>
        <v>0.0275</v>
      </c>
      <c r="I480" s="1" t="str">
        <f t="shared" si="1"/>
        <v/>
      </c>
      <c r="J480" s="406">
        <f t="shared" si="13"/>
        <v>59902</v>
      </c>
      <c r="K480" s="105">
        <f t="shared" si="9"/>
        <v>44</v>
      </c>
      <c r="L480" s="411" t="str">
        <f t="shared" si="10"/>
        <v/>
      </c>
      <c r="M480" s="407" t="str">
        <f t="shared" si="2"/>
        <v/>
      </c>
      <c r="N480" s="407">
        <f t="shared" si="3"/>
        <v>0</v>
      </c>
      <c r="O480" s="407" t="str">
        <f t="shared" si="4"/>
        <v/>
      </c>
      <c r="P480" s="1"/>
    </row>
    <row r="481" ht="12.75" customHeight="1">
      <c r="A481" s="1">
        <v>470.0</v>
      </c>
      <c r="B481" s="408" t="str">
        <f t="shared" si="5"/>
        <v/>
      </c>
      <c r="C481" s="408">
        <f t="shared" si="6"/>
        <v>0</v>
      </c>
      <c r="D481" s="408" t="str">
        <f t="shared" si="7"/>
        <v/>
      </c>
      <c r="E481" s="176" t="str">
        <f t="shared" si="8"/>
        <v/>
      </c>
      <c r="F481" s="408" t="str">
        <f t="shared" si="11"/>
        <v/>
      </c>
      <c r="G481" s="408" t="str">
        <f t="shared" si="12"/>
        <v/>
      </c>
      <c r="H481" s="410">
        <f>IF(K481&gt;='Pro Forma Detail'!D$66,'Pro Forma Detail'!D$67,'Debt ReFi'!$B$5)</f>
        <v>0.0275</v>
      </c>
      <c r="I481" s="1" t="str">
        <f t="shared" si="1"/>
        <v/>
      </c>
      <c r="J481" s="406">
        <f t="shared" si="13"/>
        <v>59933</v>
      </c>
      <c r="K481" s="105">
        <f t="shared" si="9"/>
        <v>44</v>
      </c>
      <c r="L481" s="411" t="str">
        <f t="shared" si="10"/>
        <v/>
      </c>
      <c r="M481" s="407" t="str">
        <f t="shared" si="2"/>
        <v/>
      </c>
      <c r="N481" s="407">
        <f t="shared" si="3"/>
        <v>0</v>
      </c>
      <c r="O481" s="407" t="str">
        <f t="shared" si="4"/>
        <v/>
      </c>
      <c r="P481" s="1"/>
    </row>
    <row r="482" ht="12.75" customHeight="1">
      <c r="A482" s="1">
        <v>471.0</v>
      </c>
      <c r="B482" s="408" t="str">
        <f t="shared" si="5"/>
        <v/>
      </c>
      <c r="C482" s="408">
        <f t="shared" si="6"/>
        <v>0</v>
      </c>
      <c r="D482" s="408" t="str">
        <f t="shared" si="7"/>
        <v/>
      </c>
      <c r="E482" s="176" t="str">
        <f t="shared" si="8"/>
        <v/>
      </c>
      <c r="F482" s="408" t="str">
        <f t="shared" si="11"/>
        <v/>
      </c>
      <c r="G482" s="408" t="str">
        <f t="shared" si="12"/>
        <v/>
      </c>
      <c r="H482" s="410">
        <f>IF(K482&gt;='Pro Forma Detail'!D$66,'Pro Forma Detail'!D$67,'Debt ReFi'!$B$5)</f>
        <v>0.0275</v>
      </c>
      <c r="I482" s="1" t="str">
        <f t="shared" si="1"/>
        <v/>
      </c>
      <c r="J482" s="406">
        <f t="shared" si="13"/>
        <v>59962</v>
      </c>
      <c r="K482" s="105">
        <f t="shared" si="9"/>
        <v>44</v>
      </c>
      <c r="L482" s="411" t="str">
        <f t="shared" si="10"/>
        <v/>
      </c>
      <c r="M482" s="407" t="str">
        <f t="shared" si="2"/>
        <v/>
      </c>
      <c r="N482" s="407">
        <f t="shared" si="3"/>
        <v>0</v>
      </c>
      <c r="O482" s="407" t="str">
        <f t="shared" si="4"/>
        <v/>
      </c>
      <c r="P482" s="1"/>
    </row>
    <row r="483" ht="12.75" customHeight="1">
      <c r="A483" s="1">
        <v>472.0</v>
      </c>
      <c r="B483" s="408" t="str">
        <f t="shared" si="5"/>
        <v/>
      </c>
      <c r="C483" s="408">
        <f t="shared" si="6"/>
        <v>0</v>
      </c>
      <c r="D483" s="408" t="str">
        <f t="shared" si="7"/>
        <v/>
      </c>
      <c r="E483" s="176" t="str">
        <f t="shared" si="8"/>
        <v/>
      </c>
      <c r="F483" s="408" t="str">
        <f t="shared" si="11"/>
        <v/>
      </c>
      <c r="G483" s="408" t="str">
        <f t="shared" si="12"/>
        <v/>
      </c>
      <c r="H483" s="410">
        <f>IF(K483&gt;='Pro Forma Detail'!D$66,'Pro Forma Detail'!D$67,'Debt ReFi'!$B$5)</f>
        <v>0.0275</v>
      </c>
      <c r="I483" s="1" t="str">
        <f t="shared" si="1"/>
        <v/>
      </c>
      <c r="J483" s="406">
        <f t="shared" si="13"/>
        <v>59993</v>
      </c>
      <c r="K483" s="105">
        <f t="shared" si="9"/>
        <v>44</v>
      </c>
      <c r="L483" s="411" t="str">
        <f t="shared" si="10"/>
        <v/>
      </c>
      <c r="M483" s="407" t="str">
        <f t="shared" si="2"/>
        <v/>
      </c>
      <c r="N483" s="407">
        <f t="shared" si="3"/>
        <v>0</v>
      </c>
      <c r="O483" s="407" t="str">
        <f t="shared" si="4"/>
        <v/>
      </c>
      <c r="P483" s="1"/>
    </row>
    <row r="484" ht="12.75" customHeight="1">
      <c r="A484" s="1">
        <v>473.0</v>
      </c>
      <c r="B484" s="408" t="str">
        <f t="shared" si="5"/>
        <v/>
      </c>
      <c r="C484" s="408">
        <f t="shared" si="6"/>
        <v>0</v>
      </c>
      <c r="D484" s="408" t="str">
        <f t="shared" si="7"/>
        <v/>
      </c>
      <c r="E484" s="176" t="str">
        <f t="shared" si="8"/>
        <v/>
      </c>
      <c r="F484" s="408" t="str">
        <f t="shared" si="11"/>
        <v/>
      </c>
      <c r="G484" s="408" t="str">
        <f t="shared" si="12"/>
        <v/>
      </c>
      <c r="H484" s="410">
        <f>IF(K484&gt;='Pro Forma Detail'!D$66,'Pro Forma Detail'!D$67,'Debt ReFi'!$B$5)</f>
        <v>0.0275</v>
      </c>
      <c r="I484" s="1" t="str">
        <f t="shared" si="1"/>
        <v/>
      </c>
      <c r="J484" s="406">
        <f t="shared" si="13"/>
        <v>60023</v>
      </c>
      <c r="K484" s="105">
        <f t="shared" si="9"/>
        <v>44</v>
      </c>
      <c r="L484" s="411" t="str">
        <f t="shared" si="10"/>
        <v/>
      </c>
      <c r="M484" s="407" t="str">
        <f t="shared" si="2"/>
        <v/>
      </c>
      <c r="N484" s="407">
        <f t="shared" si="3"/>
        <v>0</v>
      </c>
      <c r="O484" s="407" t="str">
        <f t="shared" si="4"/>
        <v/>
      </c>
      <c r="P484" s="1"/>
    </row>
    <row r="485" ht="12.75" customHeight="1">
      <c r="A485" s="1">
        <v>474.0</v>
      </c>
      <c r="B485" s="408" t="str">
        <f t="shared" si="5"/>
        <v/>
      </c>
      <c r="C485" s="408">
        <f t="shared" si="6"/>
        <v>0</v>
      </c>
      <c r="D485" s="408" t="str">
        <f t="shared" si="7"/>
        <v/>
      </c>
      <c r="E485" s="176" t="str">
        <f t="shared" si="8"/>
        <v/>
      </c>
      <c r="F485" s="408" t="str">
        <f t="shared" si="11"/>
        <v/>
      </c>
      <c r="G485" s="408" t="str">
        <f t="shared" si="12"/>
        <v/>
      </c>
      <c r="H485" s="410">
        <f>IF(K485&gt;='Pro Forma Detail'!D$66,'Pro Forma Detail'!D$67,'Debt ReFi'!$B$5)</f>
        <v>0.0275</v>
      </c>
      <c r="I485" s="1" t="str">
        <f t="shared" si="1"/>
        <v/>
      </c>
      <c r="J485" s="406">
        <f t="shared" si="13"/>
        <v>60054</v>
      </c>
      <c r="K485" s="105">
        <f t="shared" si="9"/>
        <v>44</v>
      </c>
      <c r="L485" s="411" t="str">
        <f t="shared" si="10"/>
        <v/>
      </c>
      <c r="M485" s="407" t="str">
        <f t="shared" si="2"/>
        <v/>
      </c>
      <c r="N485" s="407">
        <f t="shared" si="3"/>
        <v>0</v>
      </c>
      <c r="O485" s="407" t="str">
        <f t="shared" si="4"/>
        <v/>
      </c>
      <c r="P485" s="1"/>
    </row>
    <row r="486" ht="12.75" customHeight="1">
      <c r="A486" s="1">
        <v>475.0</v>
      </c>
      <c r="B486" s="408" t="str">
        <f t="shared" si="5"/>
        <v/>
      </c>
      <c r="C486" s="408">
        <f t="shared" si="6"/>
        <v>0</v>
      </c>
      <c r="D486" s="408" t="str">
        <f t="shared" si="7"/>
        <v/>
      </c>
      <c r="E486" s="176" t="str">
        <f t="shared" si="8"/>
        <v/>
      </c>
      <c r="F486" s="408" t="str">
        <f t="shared" si="11"/>
        <v/>
      </c>
      <c r="G486" s="408" t="str">
        <f t="shared" si="12"/>
        <v/>
      </c>
      <c r="H486" s="410">
        <f>IF(K486&gt;='Pro Forma Detail'!D$66,'Pro Forma Detail'!D$67,'Debt ReFi'!$B$5)</f>
        <v>0.0275</v>
      </c>
      <c r="I486" s="1" t="str">
        <f t="shared" si="1"/>
        <v/>
      </c>
      <c r="J486" s="406">
        <f t="shared" si="13"/>
        <v>60084</v>
      </c>
      <c r="K486" s="105">
        <f t="shared" si="9"/>
        <v>44</v>
      </c>
      <c r="L486" s="411" t="str">
        <f t="shared" si="10"/>
        <v/>
      </c>
      <c r="M486" s="407" t="str">
        <f t="shared" si="2"/>
        <v/>
      </c>
      <c r="N486" s="407">
        <f t="shared" si="3"/>
        <v>0</v>
      </c>
      <c r="O486" s="407" t="str">
        <f t="shared" si="4"/>
        <v/>
      </c>
      <c r="P486" s="1"/>
    </row>
    <row r="487" ht="12.75" customHeight="1">
      <c r="A487" s="1">
        <v>476.0</v>
      </c>
      <c r="B487" s="408" t="str">
        <f t="shared" si="5"/>
        <v/>
      </c>
      <c r="C487" s="408">
        <f t="shared" si="6"/>
        <v>0</v>
      </c>
      <c r="D487" s="408" t="str">
        <f t="shared" si="7"/>
        <v/>
      </c>
      <c r="E487" s="176" t="str">
        <f t="shared" si="8"/>
        <v/>
      </c>
      <c r="F487" s="408" t="str">
        <f t="shared" si="11"/>
        <v/>
      </c>
      <c r="G487" s="408" t="str">
        <f t="shared" si="12"/>
        <v/>
      </c>
      <c r="H487" s="410">
        <f>IF(K487&gt;='Pro Forma Detail'!D$66,'Pro Forma Detail'!D$67,'Debt ReFi'!$B$5)</f>
        <v>0.0275</v>
      </c>
      <c r="I487" s="1" t="str">
        <f t="shared" si="1"/>
        <v/>
      </c>
      <c r="J487" s="406">
        <f t="shared" si="13"/>
        <v>60115</v>
      </c>
      <c r="K487" s="105">
        <f t="shared" si="9"/>
        <v>44</v>
      </c>
      <c r="L487" s="411" t="str">
        <f t="shared" si="10"/>
        <v/>
      </c>
      <c r="M487" s="407" t="str">
        <f t="shared" si="2"/>
        <v/>
      </c>
      <c r="N487" s="407">
        <f t="shared" si="3"/>
        <v>0</v>
      </c>
      <c r="O487" s="407" t="str">
        <f t="shared" si="4"/>
        <v/>
      </c>
      <c r="P487" s="1"/>
    </row>
    <row r="488" ht="12.75" customHeight="1">
      <c r="A488" s="1">
        <v>477.0</v>
      </c>
      <c r="B488" s="408" t="str">
        <f t="shared" si="5"/>
        <v/>
      </c>
      <c r="C488" s="408">
        <f t="shared" si="6"/>
        <v>0</v>
      </c>
      <c r="D488" s="408" t="str">
        <f t="shared" si="7"/>
        <v/>
      </c>
      <c r="E488" s="176" t="str">
        <f t="shared" si="8"/>
        <v/>
      </c>
      <c r="F488" s="408" t="str">
        <f t="shared" si="11"/>
        <v/>
      </c>
      <c r="G488" s="408" t="str">
        <f t="shared" si="12"/>
        <v/>
      </c>
      <c r="H488" s="410">
        <f>IF(K488&gt;='Pro Forma Detail'!D$66,'Pro Forma Detail'!D$67,'Debt ReFi'!$B$5)</f>
        <v>0.0275</v>
      </c>
      <c r="I488" s="1" t="str">
        <f t="shared" si="1"/>
        <v/>
      </c>
      <c r="J488" s="406">
        <f t="shared" si="13"/>
        <v>60146</v>
      </c>
      <c r="K488" s="105">
        <f t="shared" si="9"/>
        <v>44</v>
      </c>
      <c r="L488" s="411" t="str">
        <f t="shared" si="10"/>
        <v/>
      </c>
      <c r="M488" s="407" t="str">
        <f t="shared" si="2"/>
        <v/>
      </c>
      <c r="N488" s="407">
        <f t="shared" si="3"/>
        <v>0</v>
      </c>
      <c r="O488" s="407" t="str">
        <f t="shared" si="4"/>
        <v/>
      </c>
      <c r="P488" s="1"/>
    </row>
    <row r="489" ht="12.75" customHeight="1">
      <c r="A489" s="1">
        <v>478.0</v>
      </c>
      <c r="B489" s="408" t="str">
        <f t="shared" si="5"/>
        <v/>
      </c>
      <c r="C489" s="408">
        <f t="shared" si="6"/>
        <v>0</v>
      </c>
      <c r="D489" s="408" t="str">
        <f t="shared" si="7"/>
        <v/>
      </c>
      <c r="E489" s="176" t="str">
        <f t="shared" si="8"/>
        <v/>
      </c>
      <c r="F489" s="408" t="str">
        <f t="shared" si="11"/>
        <v/>
      </c>
      <c r="G489" s="408" t="str">
        <f t="shared" si="12"/>
        <v/>
      </c>
      <c r="H489" s="410">
        <f>IF(K489&gt;='Pro Forma Detail'!D$66,'Pro Forma Detail'!D$67,'Debt ReFi'!$B$5)</f>
        <v>0.0275</v>
      </c>
      <c r="I489" s="1" t="str">
        <f t="shared" si="1"/>
        <v/>
      </c>
      <c r="J489" s="406">
        <f t="shared" si="13"/>
        <v>60176</v>
      </c>
      <c r="K489" s="105">
        <f t="shared" si="9"/>
        <v>44</v>
      </c>
      <c r="L489" s="411" t="str">
        <f t="shared" si="10"/>
        <v/>
      </c>
      <c r="M489" s="407" t="str">
        <f t="shared" si="2"/>
        <v/>
      </c>
      <c r="N489" s="407">
        <f t="shared" si="3"/>
        <v>0</v>
      </c>
      <c r="O489" s="407" t="str">
        <f t="shared" si="4"/>
        <v/>
      </c>
      <c r="P489" s="1"/>
    </row>
    <row r="490" ht="12.75" customHeight="1">
      <c r="A490" s="1">
        <v>479.0</v>
      </c>
      <c r="B490" s="408" t="str">
        <f t="shared" si="5"/>
        <v/>
      </c>
      <c r="C490" s="408">
        <f t="shared" si="6"/>
        <v>0</v>
      </c>
      <c r="D490" s="408" t="str">
        <f t="shared" si="7"/>
        <v/>
      </c>
      <c r="E490" s="176" t="str">
        <f t="shared" si="8"/>
        <v/>
      </c>
      <c r="F490" s="408" t="str">
        <f t="shared" si="11"/>
        <v/>
      </c>
      <c r="G490" s="408" t="str">
        <f t="shared" si="12"/>
        <v/>
      </c>
      <c r="H490" s="410">
        <f>IF(K490&gt;='Pro Forma Detail'!D$66,'Pro Forma Detail'!D$67,'Debt ReFi'!$B$5)</f>
        <v>0.0275</v>
      </c>
      <c r="I490" s="1" t="str">
        <f t="shared" si="1"/>
        <v/>
      </c>
      <c r="J490" s="406">
        <f t="shared" si="13"/>
        <v>60207</v>
      </c>
      <c r="K490" s="105">
        <f t="shared" si="9"/>
        <v>44</v>
      </c>
      <c r="L490" s="411" t="str">
        <f t="shared" si="10"/>
        <v/>
      </c>
      <c r="M490" s="407" t="str">
        <f t="shared" si="2"/>
        <v/>
      </c>
      <c r="N490" s="407">
        <f t="shared" si="3"/>
        <v>0</v>
      </c>
      <c r="O490" s="407" t="str">
        <f t="shared" si="4"/>
        <v/>
      </c>
      <c r="P490" s="1"/>
    </row>
    <row r="491" ht="12.75" customHeight="1">
      <c r="A491" s="1">
        <v>480.0</v>
      </c>
      <c r="B491" s="408" t="str">
        <f t="shared" si="5"/>
        <v/>
      </c>
      <c r="C491" s="408">
        <f t="shared" si="6"/>
        <v>0</v>
      </c>
      <c r="D491" s="408" t="str">
        <f t="shared" si="7"/>
        <v/>
      </c>
      <c r="E491" s="176" t="str">
        <f t="shared" si="8"/>
        <v/>
      </c>
      <c r="F491" s="408" t="str">
        <f t="shared" si="11"/>
        <v/>
      </c>
      <c r="G491" s="408" t="str">
        <f t="shared" si="12"/>
        <v/>
      </c>
      <c r="H491" s="410">
        <f>IF(K491&gt;='Pro Forma Detail'!D$66,'Pro Forma Detail'!D$67,'Debt ReFi'!$B$5)</f>
        <v>0.0275</v>
      </c>
      <c r="I491" s="1" t="str">
        <f t="shared" si="1"/>
        <v/>
      </c>
      <c r="J491" s="406">
        <f t="shared" si="13"/>
        <v>60237</v>
      </c>
      <c r="K491" s="105">
        <f t="shared" si="9"/>
        <v>44</v>
      </c>
      <c r="L491" s="411" t="str">
        <f t="shared" si="10"/>
        <v/>
      </c>
      <c r="M491" s="407" t="str">
        <f t="shared" si="2"/>
        <v/>
      </c>
      <c r="N491" s="407">
        <f t="shared" si="3"/>
        <v>0</v>
      </c>
      <c r="O491" s="407" t="str">
        <f t="shared" si="4"/>
        <v/>
      </c>
      <c r="P491" s="1"/>
    </row>
    <row r="492" ht="12.75" customHeight="1">
      <c r="A492" s="1">
        <v>481.0</v>
      </c>
      <c r="B492" s="408" t="str">
        <f t="shared" si="5"/>
        <v/>
      </c>
      <c r="C492" s="408">
        <f t="shared" si="6"/>
        <v>0</v>
      </c>
      <c r="D492" s="408" t="str">
        <f t="shared" si="7"/>
        <v/>
      </c>
      <c r="E492" s="176" t="str">
        <f t="shared" si="8"/>
        <v/>
      </c>
      <c r="F492" s="408" t="str">
        <f t="shared" si="11"/>
        <v/>
      </c>
      <c r="G492" s="408" t="str">
        <f t="shared" si="12"/>
        <v/>
      </c>
      <c r="H492" s="410">
        <f>IF(K492&gt;='Pro Forma Detail'!D$66,'Pro Forma Detail'!D$67,'Debt ReFi'!$B$5)</f>
        <v>0.0275</v>
      </c>
      <c r="I492" s="1" t="str">
        <f t="shared" si="1"/>
        <v/>
      </c>
      <c r="J492" s="406">
        <f t="shared" si="13"/>
        <v>60268</v>
      </c>
      <c r="K492" s="105">
        <f t="shared" si="9"/>
        <v>45</v>
      </c>
      <c r="L492" s="411" t="str">
        <f t="shared" si="10"/>
        <v/>
      </c>
      <c r="M492" s="407" t="str">
        <f t="shared" si="2"/>
        <v/>
      </c>
      <c r="N492" s="407">
        <f t="shared" si="3"/>
        <v>0</v>
      </c>
      <c r="O492" s="407" t="str">
        <f t="shared" si="4"/>
        <v/>
      </c>
      <c r="P492" s="1"/>
    </row>
    <row r="493" ht="12.75" customHeight="1">
      <c r="A493" s="1">
        <v>482.0</v>
      </c>
      <c r="B493" s="408" t="str">
        <f t="shared" si="5"/>
        <v/>
      </c>
      <c r="C493" s="408">
        <f t="shared" si="6"/>
        <v>0</v>
      </c>
      <c r="D493" s="408" t="str">
        <f t="shared" si="7"/>
        <v/>
      </c>
      <c r="E493" s="176" t="str">
        <f t="shared" si="8"/>
        <v/>
      </c>
      <c r="F493" s="408" t="str">
        <f t="shared" si="11"/>
        <v/>
      </c>
      <c r="G493" s="408" t="str">
        <f t="shared" si="12"/>
        <v/>
      </c>
      <c r="H493" s="410">
        <f>IF(K493&gt;='Pro Forma Detail'!D$66,'Pro Forma Detail'!D$67,'Debt ReFi'!$B$5)</f>
        <v>0.0275</v>
      </c>
      <c r="I493" s="1" t="str">
        <f t="shared" si="1"/>
        <v/>
      </c>
      <c r="J493" s="406">
        <f t="shared" si="13"/>
        <v>60299</v>
      </c>
      <c r="K493" s="105">
        <f t="shared" si="9"/>
        <v>45</v>
      </c>
      <c r="L493" s="411" t="str">
        <f t="shared" si="10"/>
        <v/>
      </c>
      <c r="M493" s="407" t="str">
        <f t="shared" si="2"/>
        <v/>
      </c>
      <c r="N493" s="407">
        <f t="shared" si="3"/>
        <v>0</v>
      </c>
      <c r="O493" s="407" t="str">
        <f t="shared" si="4"/>
        <v/>
      </c>
      <c r="P493" s="1"/>
    </row>
    <row r="494" ht="12.75" customHeight="1">
      <c r="A494" s="1">
        <v>483.0</v>
      </c>
      <c r="B494" s="408" t="str">
        <f t="shared" si="5"/>
        <v/>
      </c>
      <c r="C494" s="408">
        <f t="shared" si="6"/>
        <v>0</v>
      </c>
      <c r="D494" s="408" t="str">
        <f t="shared" si="7"/>
        <v/>
      </c>
      <c r="E494" s="176" t="str">
        <f t="shared" si="8"/>
        <v/>
      </c>
      <c r="F494" s="408" t="str">
        <f t="shared" si="11"/>
        <v/>
      </c>
      <c r="G494" s="408" t="str">
        <f t="shared" si="12"/>
        <v/>
      </c>
      <c r="H494" s="410">
        <f>IF(K494&gt;='Pro Forma Detail'!D$66,'Pro Forma Detail'!D$67,'Debt ReFi'!$B$5)</f>
        <v>0.0275</v>
      </c>
      <c r="I494" s="1" t="str">
        <f t="shared" si="1"/>
        <v/>
      </c>
      <c r="J494" s="406">
        <f t="shared" si="13"/>
        <v>60327</v>
      </c>
      <c r="K494" s="105">
        <f t="shared" si="9"/>
        <v>45</v>
      </c>
      <c r="L494" s="411" t="str">
        <f t="shared" si="10"/>
        <v/>
      </c>
      <c r="M494" s="407" t="str">
        <f t="shared" si="2"/>
        <v/>
      </c>
      <c r="N494" s="407">
        <f t="shared" si="3"/>
        <v>0</v>
      </c>
      <c r="O494" s="407" t="str">
        <f t="shared" si="4"/>
        <v/>
      </c>
      <c r="P494" s="1"/>
    </row>
    <row r="495" ht="12.75" customHeight="1">
      <c r="A495" s="1">
        <v>484.0</v>
      </c>
      <c r="B495" s="408" t="str">
        <f t="shared" si="5"/>
        <v/>
      </c>
      <c r="C495" s="408">
        <f t="shared" si="6"/>
        <v>0</v>
      </c>
      <c r="D495" s="408" t="str">
        <f t="shared" si="7"/>
        <v/>
      </c>
      <c r="E495" s="176" t="str">
        <f t="shared" si="8"/>
        <v/>
      </c>
      <c r="F495" s="408" t="str">
        <f t="shared" si="11"/>
        <v/>
      </c>
      <c r="G495" s="408" t="str">
        <f t="shared" si="12"/>
        <v/>
      </c>
      <c r="H495" s="410">
        <f>IF(K495&gt;='Pro Forma Detail'!D$66,'Pro Forma Detail'!D$67,'Debt ReFi'!$B$5)</f>
        <v>0.0275</v>
      </c>
      <c r="I495" s="1" t="str">
        <f t="shared" si="1"/>
        <v/>
      </c>
      <c r="J495" s="406">
        <f t="shared" si="13"/>
        <v>60358</v>
      </c>
      <c r="K495" s="105">
        <f t="shared" si="9"/>
        <v>45</v>
      </c>
      <c r="L495" s="411" t="str">
        <f t="shared" si="10"/>
        <v/>
      </c>
      <c r="M495" s="407" t="str">
        <f t="shared" si="2"/>
        <v/>
      </c>
      <c r="N495" s="407">
        <f t="shared" si="3"/>
        <v>0</v>
      </c>
      <c r="O495" s="407" t="str">
        <f t="shared" si="4"/>
        <v/>
      </c>
      <c r="P495" s="1"/>
    </row>
    <row r="496" ht="12.75" customHeight="1">
      <c r="A496" s="1">
        <v>485.0</v>
      </c>
      <c r="B496" s="408" t="str">
        <f t="shared" si="5"/>
        <v/>
      </c>
      <c r="C496" s="408">
        <f t="shared" si="6"/>
        <v>0</v>
      </c>
      <c r="D496" s="408" t="str">
        <f t="shared" si="7"/>
        <v/>
      </c>
      <c r="E496" s="176" t="str">
        <f t="shared" si="8"/>
        <v/>
      </c>
      <c r="F496" s="408" t="str">
        <f t="shared" si="11"/>
        <v/>
      </c>
      <c r="G496" s="408" t="str">
        <f t="shared" si="12"/>
        <v/>
      </c>
      <c r="H496" s="410">
        <f>IF(K496&gt;='Pro Forma Detail'!D$66,'Pro Forma Detail'!D$67,'Debt ReFi'!$B$5)</f>
        <v>0.0275</v>
      </c>
      <c r="I496" s="1" t="str">
        <f t="shared" si="1"/>
        <v/>
      </c>
      <c r="J496" s="406">
        <f t="shared" si="13"/>
        <v>60388</v>
      </c>
      <c r="K496" s="105">
        <f t="shared" si="9"/>
        <v>45</v>
      </c>
      <c r="L496" s="411" t="str">
        <f t="shared" si="10"/>
        <v/>
      </c>
      <c r="M496" s="407" t="str">
        <f t="shared" si="2"/>
        <v/>
      </c>
      <c r="N496" s="407">
        <f t="shared" si="3"/>
        <v>0</v>
      </c>
      <c r="O496" s="407" t="str">
        <f t="shared" si="4"/>
        <v/>
      </c>
      <c r="P496" s="1"/>
    </row>
    <row r="497" ht="12.75" customHeight="1">
      <c r="A497" s="1">
        <v>486.0</v>
      </c>
      <c r="B497" s="408" t="str">
        <f t="shared" si="5"/>
        <v/>
      </c>
      <c r="C497" s="408">
        <f t="shared" si="6"/>
        <v>0</v>
      </c>
      <c r="D497" s="408" t="str">
        <f t="shared" si="7"/>
        <v/>
      </c>
      <c r="E497" s="176" t="str">
        <f t="shared" si="8"/>
        <v/>
      </c>
      <c r="F497" s="408" t="str">
        <f t="shared" si="11"/>
        <v/>
      </c>
      <c r="G497" s="408" t="str">
        <f t="shared" si="12"/>
        <v/>
      </c>
      <c r="H497" s="410">
        <f>IF(K497&gt;='Pro Forma Detail'!D$66,'Pro Forma Detail'!D$67,'Debt ReFi'!$B$5)</f>
        <v>0.0275</v>
      </c>
      <c r="I497" s="1" t="str">
        <f t="shared" si="1"/>
        <v/>
      </c>
      <c r="J497" s="406">
        <f t="shared" si="13"/>
        <v>60419</v>
      </c>
      <c r="K497" s="105">
        <f t="shared" si="9"/>
        <v>45</v>
      </c>
      <c r="L497" s="411" t="str">
        <f t="shared" si="10"/>
        <v/>
      </c>
      <c r="M497" s="407" t="str">
        <f t="shared" si="2"/>
        <v/>
      </c>
      <c r="N497" s="407">
        <f t="shared" si="3"/>
        <v>0</v>
      </c>
      <c r="O497" s="407" t="str">
        <f t="shared" si="4"/>
        <v/>
      </c>
      <c r="P497" s="1"/>
    </row>
    <row r="498" ht="12.75" customHeight="1">
      <c r="A498" s="1">
        <v>487.0</v>
      </c>
      <c r="B498" s="408" t="str">
        <f t="shared" si="5"/>
        <v/>
      </c>
      <c r="C498" s="408">
        <f t="shared" si="6"/>
        <v>0</v>
      </c>
      <c r="D498" s="408" t="str">
        <f t="shared" si="7"/>
        <v/>
      </c>
      <c r="E498" s="176" t="str">
        <f t="shared" si="8"/>
        <v/>
      </c>
      <c r="F498" s="408" t="str">
        <f t="shared" si="11"/>
        <v/>
      </c>
      <c r="G498" s="408" t="str">
        <f t="shared" si="12"/>
        <v/>
      </c>
      <c r="H498" s="410">
        <f>IF(K498&gt;='Pro Forma Detail'!D$66,'Pro Forma Detail'!D$67,'Debt ReFi'!$B$5)</f>
        <v>0.0275</v>
      </c>
      <c r="I498" s="1" t="str">
        <f t="shared" si="1"/>
        <v/>
      </c>
      <c r="J498" s="406">
        <f t="shared" si="13"/>
        <v>60449</v>
      </c>
      <c r="K498" s="105">
        <f t="shared" si="9"/>
        <v>45</v>
      </c>
      <c r="L498" s="411" t="str">
        <f t="shared" si="10"/>
        <v/>
      </c>
      <c r="M498" s="407" t="str">
        <f t="shared" si="2"/>
        <v/>
      </c>
      <c r="N498" s="407">
        <f t="shared" si="3"/>
        <v>0</v>
      </c>
      <c r="O498" s="407" t="str">
        <f t="shared" si="4"/>
        <v/>
      </c>
      <c r="P498" s="1"/>
    </row>
    <row r="499" ht="12.75" customHeight="1">
      <c r="A499" s="1">
        <v>488.0</v>
      </c>
      <c r="B499" s="408" t="str">
        <f t="shared" si="5"/>
        <v/>
      </c>
      <c r="C499" s="408">
        <f t="shared" si="6"/>
        <v>0</v>
      </c>
      <c r="D499" s="408" t="str">
        <f t="shared" si="7"/>
        <v/>
      </c>
      <c r="E499" s="176" t="str">
        <f t="shared" si="8"/>
        <v/>
      </c>
      <c r="F499" s="408" t="str">
        <f t="shared" si="11"/>
        <v/>
      </c>
      <c r="G499" s="408" t="str">
        <f t="shared" si="12"/>
        <v/>
      </c>
      <c r="H499" s="410">
        <f>IF(K499&gt;='Pro Forma Detail'!D$66,'Pro Forma Detail'!D$67,'Debt ReFi'!$B$5)</f>
        <v>0.0275</v>
      </c>
      <c r="I499" s="1" t="str">
        <f t="shared" si="1"/>
        <v/>
      </c>
      <c r="J499" s="406">
        <f t="shared" si="13"/>
        <v>60480</v>
      </c>
      <c r="K499" s="105">
        <f t="shared" si="9"/>
        <v>45</v>
      </c>
      <c r="L499" s="411" t="str">
        <f t="shared" si="10"/>
        <v/>
      </c>
      <c r="M499" s="407" t="str">
        <f t="shared" si="2"/>
        <v/>
      </c>
      <c r="N499" s="407">
        <f t="shared" si="3"/>
        <v>0</v>
      </c>
      <c r="O499" s="407" t="str">
        <f t="shared" si="4"/>
        <v/>
      </c>
      <c r="P499" s="1"/>
    </row>
    <row r="500" ht="12.75" customHeight="1">
      <c r="A500" s="1">
        <v>489.0</v>
      </c>
      <c r="B500" s="408" t="str">
        <f t="shared" si="5"/>
        <v/>
      </c>
      <c r="C500" s="408">
        <f t="shared" si="6"/>
        <v>0</v>
      </c>
      <c r="D500" s="408" t="str">
        <f t="shared" si="7"/>
        <v/>
      </c>
      <c r="E500" s="176" t="str">
        <f t="shared" si="8"/>
        <v/>
      </c>
      <c r="F500" s="408" t="str">
        <f t="shared" si="11"/>
        <v/>
      </c>
      <c r="G500" s="408" t="str">
        <f t="shared" si="12"/>
        <v/>
      </c>
      <c r="H500" s="410">
        <f>IF(K500&gt;='Pro Forma Detail'!D$66,'Pro Forma Detail'!D$67,'Debt ReFi'!$B$5)</f>
        <v>0.0275</v>
      </c>
      <c r="I500" s="1" t="str">
        <f t="shared" si="1"/>
        <v/>
      </c>
      <c r="J500" s="406">
        <f t="shared" si="13"/>
        <v>60511</v>
      </c>
      <c r="K500" s="105">
        <f t="shared" si="9"/>
        <v>45</v>
      </c>
      <c r="L500" s="411" t="str">
        <f t="shared" si="10"/>
        <v/>
      </c>
      <c r="M500" s="407" t="str">
        <f t="shared" si="2"/>
        <v/>
      </c>
      <c r="N500" s="407">
        <f t="shared" si="3"/>
        <v>0</v>
      </c>
      <c r="O500" s="407" t="str">
        <f t="shared" si="4"/>
        <v/>
      </c>
      <c r="P500" s="1"/>
    </row>
    <row r="501" ht="12.75" customHeight="1">
      <c r="A501" s="1">
        <v>490.0</v>
      </c>
      <c r="B501" s="408" t="str">
        <f t="shared" si="5"/>
        <v/>
      </c>
      <c r="C501" s="408">
        <f t="shared" si="6"/>
        <v>0</v>
      </c>
      <c r="D501" s="408" t="str">
        <f t="shared" si="7"/>
        <v/>
      </c>
      <c r="E501" s="176" t="str">
        <f t="shared" si="8"/>
        <v/>
      </c>
      <c r="F501" s="408" t="str">
        <f t="shared" si="11"/>
        <v/>
      </c>
      <c r="G501" s="408" t="str">
        <f t="shared" si="12"/>
        <v/>
      </c>
      <c r="H501" s="410">
        <f>IF(K501&gt;='Pro Forma Detail'!D$66,'Pro Forma Detail'!D$67,'Debt ReFi'!$B$5)</f>
        <v>0.0275</v>
      </c>
      <c r="I501" s="1" t="str">
        <f t="shared" si="1"/>
        <v/>
      </c>
      <c r="J501" s="406">
        <f t="shared" si="13"/>
        <v>60541</v>
      </c>
      <c r="K501" s="105">
        <f t="shared" si="9"/>
        <v>45</v>
      </c>
      <c r="L501" s="411" t="str">
        <f t="shared" si="10"/>
        <v/>
      </c>
      <c r="M501" s="407" t="str">
        <f t="shared" si="2"/>
        <v/>
      </c>
      <c r="N501" s="407">
        <f t="shared" si="3"/>
        <v>0</v>
      </c>
      <c r="O501" s="407" t="str">
        <f t="shared" si="4"/>
        <v/>
      </c>
      <c r="P501" s="1"/>
    </row>
    <row r="502" ht="12.75" customHeight="1">
      <c r="A502" s="1">
        <v>491.0</v>
      </c>
      <c r="B502" s="408" t="str">
        <f t="shared" si="5"/>
        <v/>
      </c>
      <c r="C502" s="408">
        <f t="shared" si="6"/>
        <v>0</v>
      </c>
      <c r="D502" s="408" t="str">
        <f t="shared" si="7"/>
        <v/>
      </c>
      <c r="E502" s="176" t="str">
        <f t="shared" si="8"/>
        <v/>
      </c>
      <c r="F502" s="408" t="str">
        <f t="shared" si="11"/>
        <v/>
      </c>
      <c r="G502" s="408" t="str">
        <f t="shared" si="12"/>
        <v/>
      </c>
      <c r="H502" s="410">
        <f>IF(K502&gt;='Pro Forma Detail'!D$66,'Pro Forma Detail'!D$67,'Debt ReFi'!$B$5)</f>
        <v>0.0275</v>
      </c>
      <c r="I502" s="1" t="str">
        <f t="shared" si="1"/>
        <v/>
      </c>
      <c r="J502" s="406">
        <f t="shared" si="13"/>
        <v>60572</v>
      </c>
      <c r="K502" s="105">
        <f t="shared" si="9"/>
        <v>45</v>
      </c>
      <c r="L502" s="411" t="str">
        <f t="shared" si="10"/>
        <v/>
      </c>
      <c r="M502" s="407" t="str">
        <f t="shared" si="2"/>
        <v/>
      </c>
      <c r="N502" s="407">
        <f t="shared" si="3"/>
        <v>0</v>
      </c>
      <c r="O502" s="407" t="str">
        <f t="shared" si="4"/>
        <v/>
      </c>
      <c r="P502" s="1"/>
    </row>
    <row r="503" ht="12.75" customHeight="1">
      <c r="A503" s="1">
        <v>492.0</v>
      </c>
      <c r="B503" s="408" t="str">
        <f t="shared" si="5"/>
        <v/>
      </c>
      <c r="C503" s="408">
        <f t="shared" si="6"/>
        <v>0</v>
      </c>
      <c r="D503" s="408" t="str">
        <f t="shared" si="7"/>
        <v/>
      </c>
      <c r="E503" s="176" t="str">
        <f t="shared" si="8"/>
        <v/>
      </c>
      <c r="F503" s="408" t="str">
        <f t="shared" si="11"/>
        <v/>
      </c>
      <c r="G503" s="408" t="str">
        <f t="shared" si="12"/>
        <v/>
      </c>
      <c r="H503" s="410">
        <f>IF(K503&gt;='Pro Forma Detail'!D$66,'Pro Forma Detail'!D$67,'Debt ReFi'!$B$5)</f>
        <v>0.0275</v>
      </c>
      <c r="I503" s="1" t="str">
        <f t="shared" si="1"/>
        <v/>
      </c>
      <c r="J503" s="406">
        <f t="shared" si="13"/>
        <v>60602</v>
      </c>
      <c r="K503" s="105">
        <f t="shared" si="9"/>
        <v>45</v>
      </c>
      <c r="L503" s="411" t="str">
        <f t="shared" si="10"/>
        <v/>
      </c>
      <c r="M503" s="407" t="str">
        <f t="shared" si="2"/>
        <v/>
      </c>
      <c r="N503" s="407">
        <f t="shared" si="3"/>
        <v>0</v>
      </c>
      <c r="O503" s="407" t="str">
        <f t="shared" si="4"/>
        <v/>
      </c>
      <c r="P503" s="1"/>
    </row>
    <row r="504" ht="12.75" customHeight="1">
      <c r="A504" s="1">
        <v>493.0</v>
      </c>
      <c r="B504" s="408" t="str">
        <f t="shared" si="5"/>
        <v/>
      </c>
      <c r="C504" s="408">
        <f t="shared" si="6"/>
        <v>0</v>
      </c>
      <c r="D504" s="408" t="str">
        <f t="shared" si="7"/>
        <v/>
      </c>
      <c r="E504" s="176" t="str">
        <f t="shared" si="8"/>
        <v/>
      </c>
      <c r="F504" s="408" t="str">
        <f t="shared" si="11"/>
        <v/>
      </c>
      <c r="G504" s="408" t="str">
        <f t="shared" si="12"/>
        <v/>
      </c>
      <c r="H504" s="410">
        <f>IF(K504&gt;='Pro Forma Detail'!D$66,'Pro Forma Detail'!D$67,'Debt ReFi'!$B$5)</f>
        <v>0.0275</v>
      </c>
      <c r="I504" s="1" t="str">
        <f t="shared" si="1"/>
        <v/>
      </c>
      <c r="J504" s="406">
        <f t="shared" si="13"/>
        <v>60633</v>
      </c>
      <c r="K504" s="105">
        <f t="shared" si="9"/>
        <v>46</v>
      </c>
      <c r="L504" s="411" t="str">
        <f t="shared" si="10"/>
        <v/>
      </c>
      <c r="M504" s="407" t="str">
        <f t="shared" si="2"/>
        <v/>
      </c>
      <c r="N504" s="407">
        <f t="shared" si="3"/>
        <v>0</v>
      </c>
      <c r="O504" s="407" t="str">
        <f t="shared" si="4"/>
        <v/>
      </c>
      <c r="P504" s="1"/>
    </row>
    <row r="505" ht="12.75" customHeight="1">
      <c r="A505" s="1">
        <v>494.0</v>
      </c>
      <c r="B505" s="408" t="str">
        <f t="shared" si="5"/>
        <v/>
      </c>
      <c r="C505" s="408">
        <f t="shared" si="6"/>
        <v>0</v>
      </c>
      <c r="D505" s="408" t="str">
        <f t="shared" si="7"/>
        <v/>
      </c>
      <c r="E505" s="176" t="str">
        <f t="shared" si="8"/>
        <v/>
      </c>
      <c r="F505" s="408" t="str">
        <f t="shared" si="11"/>
        <v/>
      </c>
      <c r="G505" s="408" t="str">
        <f t="shared" si="12"/>
        <v/>
      </c>
      <c r="H505" s="410">
        <f>IF(K505&gt;='Pro Forma Detail'!D$66,'Pro Forma Detail'!D$67,'Debt ReFi'!$B$5)</f>
        <v>0.0275</v>
      </c>
      <c r="I505" s="1" t="str">
        <f t="shared" si="1"/>
        <v/>
      </c>
      <c r="J505" s="406">
        <f t="shared" si="13"/>
        <v>60664</v>
      </c>
      <c r="K505" s="105">
        <f t="shared" si="9"/>
        <v>46</v>
      </c>
      <c r="L505" s="411" t="str">
        <f t="shared" si="10"/>
        <v/>
      </c>
      <c r="M505" s="407" t="str">
        <f t="shared" si="2"/>
        <v/>
      </c>
      <c r="N505" s="407">
        <f t="shared" si="3"/>
        <v>0</v>
      </c>
      <c r="O505" s="407" t="str">
        <f t="shared" si="4"/>
        <v/>
      </c>
      <c r="P505" s="1"/>
    </row>
    <row r="506" ht="12.75" customHeight="1">
      <c r="A506" s="1">
        <v>495.0</v>
      </c>
      <c r="B506" s="408" t="str">
        <f t="shared" si="5"/>
        <v/>
      </c>
      <c r="C506" s="408">
        <f t="shared" si="6"/>
        <v>0</v>
      </c>
      <c r="D506" s="408" t="str">
        <f t="shared" si="7"/>
        <v/>
      </c>
      <c r="E506" s="176" t="str">
        <f t="shared" si="8"/>
        <v/>
      </c>
      <c r="F506" s="408" t="str">
        <f t="shared" si="11"/>
        <v/>
      </c>
      <c r="G506" s="408" t="str">
        <f t="shared" si="12"/>
        <v/>
      </c>
      <c r="H506" s="410">
        <f>IF(K506&gt;='Pro Forma Detail'!D$66,'Pro Forma Detail'!D$67,'Debt ReFi'!$B$5)</f>
        <v>0.0275</v>
      </c>
      <c r="I506" s="1" t="str">
        <f t="shared" si="1"/>
        <v/>
      </c>
      <c r="J506" s="406">
        <f t="shared" si="13"/>
        <v>60692</v>
      </c>
      <c r="K506" s="105">
        <f t="shared" si="9"/>
        <v>46</v>
      </c>
      <c r="L506" s="411" t="str">
        <f t="shared" si="10"/>
        <v/>
      </c>
      <c r="M506" s="407" t="str">
        <f t="shared" si="2"/>
        <v/>
      </c>
      <c r="N506" s="407">
        <f t="shared" si="3"/>
        <v>0</v>
      </c>
      <c r="O506" s="407" t="str">
        <f t="shared" si="4"/>
        <v/>
      </c>
      <c r="P506" s="1"/>
    </row>
    <row r="507" ht="12.75" customHeight="1">
      <c r="A507" s="1">
        <v>496.0</v>
      </c>
      <c r="B507" s="408" t="str">
        <f t="shared" si="5"/>
        <v/>
      </c>
      <c r="C507" s="408">
        <f t="shared" si="6"/>
        <v>0</v>
      </c>
      <c r="D507" s="408" t="str">
        <f t="shared" si="7"/>
        <v/>
      </c>
      <c r="E507" s="176" t="str">
        <f t="shared" si="8"/>
        <v/>
      </c>
      <c r="F507" s="408" t="str">
        <f t="shared" si="11"/>
        <v/>
      </c>
      <c r="G507" s="408" t="str">
        <f t="shared" si="12"/>
        <v/>
      </c>
      <c r="H507" s="410">
        <f>IF(K507&gt;='Pro Forma Detail'!D$66,'Pro Forma Detail'!D$67,'Debt ReFi'!$B$5)</f>
        <v>0.0275</v>
      </c>
      <c r="I507" s="1" t="str">
        <f t="shared" si="1"/>
        <v/>
      </c>
      <c r="J507" s="406">
        <f t="shared" si="13"/>
        <v>60723</v>
      </c>
      <c r="K507" s="105">
        <f t="shared" si="9"/>
        <v>46</v>
      </c>
      <c r="L507" s="411" t="str">
        <f t="shared" si="10"/>
        <v/>
      </c>
      <c r="M507" s="407" t="str">
        <f t="shared" si="2"/>
        <v/>
      </c>
      <c r="N507" s="407">
        <f t="shared" si="3"/>
        <v>0</v>
      </c>
      <c r="O507" s="407" t="str">
        <f t="shared" si="4"/>
        <v/>
      </c>
      <c r="P507" s="1"/>
    </row>
    <row r="508" ht="12.75" customHeight="1">
      <c r="A508" s="1">
        <v>497.0</v>
      </c>
      <c r="B508" s="408" t="str">
        <f t="shared" si="5"/>
        <v/>
      </c>
      <c r="C508" s="408">
        <f t="shared" si="6"/>
        <v>0</v>
      </c>
      <c r="D508" s="408" t="str">
        <f t="shared" si="7"/>
        <v/>
      </c>
      <c r="E508" s="176" t="str">
        <f t="shared" si="8"/>
        <v/>
      </c>
      <c r="F508" s="408" t="str">
        <f t="shared" si="11"/>
        <v/>
      </c>
      <c r="G508" s="408" t="str">
        <f t="shared" si="12"/>
        <v/>
      </c>
      <c r="H508" s="410">
        <f>IF(K508&gt;='Pro Forma Detail'!D$66,'Pro Forma Detail'!D$67,'Debt ReFi'!$B$5)</f>
        <v>0.0275</v>
      </c>
      <c r="I508" s="1" t="str">
        <f t="shared" si="1"/>
        <v/>
      </c>
      <c r="J508" s="406">
        <f t="shared" si="13"/>
        <v>60753</v>
      </c>
      <c r="K508" s="105">
        <f t="shared" si="9"/>
        <v>46</v>
      </c>
      <c r="L508" s="411" t="str">
        <f t="shared" si="10"/>
        <v/>
      </c>
      <c r="M508" s="407" t="str">
        <f t="shared" si="2"/>
        <v/>
      </c>
      <c r="N508" s="407">
        <f t="shared" si="3"/>
        <v>0</v>
      </c>
      <c r="O508" s="407" t="str">
        <f t="shared" si="4"/>
        <v/>
      </c>
      <c r="P508" s="1"/>
    </row>
    <row r="509" ht="12.75" customHeight="1">
      <c r="A509" s="1">
        <v>498.0</v>
      </c>
      <c r="B509" s="408" t="str">
        <f t="shared" si="5"/>
        <v/>
      </c>
      <c r="C509" s="408">
        <f t="shared" si="6"/>
        <v>0</v>
      </c>
      <c r="D509" s="408" t="str">
        <f t="shared" si="7"/>
        <v/>
      </c>
      <c r="E509" s="176" t="str">
        <f t="shared" si="8"/>
        <v/>
      </c>
      <c r="F509" s="408" t="str">
        <f t="shared" si="11"/>
        <v/>
      </c>
      <c r="G509" s="408" t="str">
        <f t="shared" si="12"/>
        <v/>
      </c>
      <c r="H509" s="410">
        <f>IF(K509&gt;='Pro Forma Detail'!D$66,'Pro Forma Detail'!D$67,'Debt ReFi'!$B$5)</f>
        <v>0.0275</v>
      </c>
      <c r="I509" s="1" t="str">
        <f t="shared" si="1"/>
        <v/>
      </c>
      <c r="J509" s="406">
        <f t="shared" si="13"/>
        <v>60784</v>
      </c>
      <c r="K509" s="105">
        <f t="shared" si="9"/>
        <v>46</v>
      </c>
      <c r="L509" s="411" t="str">
        <f t="shared" si="10"/>
        <v/>
      </c>
      <c r="M509" s="407" t="str">
        <f t="shared" si="2"/>
        <v/>
      </c>
      <c r="N509" s="407">
        <f t="shared" si="3"/>
        <v>0</v>
      </c>
      <c r="O509" s="407" t="str">
        <f t="shared" si="4"/>
        <v/>
      </c>
      <c r="P509" s="1"/>
    </row>
    <row r="510" ht="12.75" customHeight="1">
      <c r="A510" s="1">
        <v>499.0</v>
      </c>
      <c r="B510" s="408" t="str">
        <f t="shared" si="5"/>
        <v/>
      </c>
      <c r="C510" s="408">
        <f t="shared" si="6"/>
        <v>0</v>
      </c>
      <c r="D510" s="408" t="str">
        <f t="shared" si="7"/>
        <v/>
      </c>
      <c r="E510" s="176" t="str">
        <f t="shared" si="8"/>
        <v/>
      </c>
      <c r="F510" s="408" t="str">
        <f t="shared" si="11"/>
        <v/>
      </c>
      <c r="G510" s="408" t="str">
        <f t="shared" si="12"/>
        <v/>
      </c>
      <c r="H510" s="410">
        <f>IF(K510&gt;='Pro Forma Detail'!D$66,'Pro Forma Detail'!D$67,'Debt ReFi'!$B$5)</f>
        <v>0.0275</v>
      </c>
      <c r="I510" s="1" t="str">
        <f t="shared" si="1"/>
        <v/>
      </c>
      <c r="J510" s="406">
        <f t="shared" si="13"/>
        <v>60814</v>
      </c>
      <c r="K510" s="105">
        <f t="shared" si="9"/>
        <v>46</v>
      </c>
      <c r="L510" s="411" t="str">
        <f t="shared" si="10"/>
        <v/>
      </c>
      <c r="M510" s="407" t="str">
        <f t="shared" si="2"/>
        <v/>
      </c>
      <c r="N510" s="407">
        <f t="shared" si="3"/>
        <v>0</v>
      </c>
      <c r="O510" s="407" t="str">
        <f t="shared" si="4"/>
        <v/>
      </c>
      <c r="P510" s="1"/>
    </row>
    <row r="511" ht="12.75" customHeight="1">
      <c r="A511" s="1">
        <v>500.0</v>
      </c>
      <c r="B511" s="408" t="str">
        <f t="shared" si="5"/>
        <v/>
      </c>
      <c r="C511" s="408">
        <f t="shared" si="6"/>
        <v>0</v>
      </c>
      <c r="D511" s="408" t="str">
        <f t="shared" si="7"/>
        <v/>
      </c>
      <c r="E511" s="176" t="str">
        <f t="shared" si="8"/>
        <v/>
      </c>
      <c r="F511" s="408" t="str">
        <f t="shared" si="11"/>
        <v/>
      </c>
      <c r="G511" s="408" t="str">
        <f t="shared" si="12"/>
        <v/>
      </c>
      <c r="H511" s="410">
        <f>IF(K511&gt;='Pro Forma Detail'!D$66,'Pro Forma Detail'!D$67,'Debt ReFi'!$B$5)</f>
        <v>0.0275</v>
      </c>
      <c r="I511" s="1" t="str">
        <f t="shared" si="1"/>
        <v/>
      </c>
      <c r="J511" s="406">
        <f t="shared" si="13"/>
        <v>60845</v>
      </c>
      <c r="K511" s="105">
        <f t="shared" si="9"/>
        <v>46</v>
      </c>
      <c r="L511" s="411" t="str">
        <f t="shared" si="10"/>
        <v/>
      </c>
      <c r="M511" s="407" t="str">
        <f t="shared" si="2"/>
        <v/>
      </c>
      <c r="N511" s="407">
        <f t="shared" si="3"/>
        <v>0</v>
      </c>
      <c r="O511" s="407" t="str">
        <f t="shared" si="4"/>
        <v/>
      </c>
      <c r="P511" s="1"/>
    </row>
    <row r="512" ht="12.75" customHeight="1">
      <c r="A512" s="1">
        <v>501.0</v>
      </c>
      <c r="B512" s="408" t="str">
        <f t="shared" si="5"/>
        <v/>
      </c>
      <c r="C512" s="408">
        <f t="shared" si="6"/>
        <v>0</v>
      </c>
      <c r="D512" s="408" t="str">
        <f t="shared" si="7"/>
        <v/>
      </c>
      <c r="E512" s="176" t="str">
        <f t="shared" si="8"/>
        <v/>
      </c>
      <c r="F512" s="408" t="str">
        <f t="shared" si="11"/>
        <v/>
      </c>
      <c r="G512" s="408" t="str">
        <f t="shared" si="12"/>
        <v/>
      </c>
      <c r="H512" s="410">
        <f>IF(K512&gt;='Pro Forma Detail'!D$66,'Pro Forma Detail'!D$67,'Debt ReFi'!$B$5)</f>
        <v>0.0275</v>
      </c>
      <c r="I512" s="1" t="str">
        <f t="shared" si="1"/>
        <v/>
      </c>
      <c r="J512" s="406">
        <f t="shared" si="13"/>
        <v>60876</v>
      </c>
      <c r="K512" s="105">
        <f t="shared" si="9"/>
        <v>46</v>
      </c>
      <c r="L512" s="411" t="str">
        <f t="shared" si="10"/>
        <v/>
      </c>
      <c r="M512" s="407" t="str">
        <f t="shared" si="2"/>
        <v/>
      </c>
      <c r="N512" s="407">
        <f t="shared" si="3"/>
        <v>0</v>
      </c>
      <c r="O512" s="407" t="str">
        <f t="shared" si="4"/>
        <v/>
      </c>
      <c r="P512" s="1"/>
    </row>
    <row r="513" ht="12.75" customHeight="1">
      <c r="A513" s="1">
        <v>502.0</v>
      </c>
      <c r="B513" s="408" t="str">
        <f t="shared" si="5"/>
        <v/>
      </c>
      <c r="C513" s="408">
        <f t="shared" si="6"/>
        <v>0</v>
      </c>
      <c r="D513" s="408" t="str">
        <f t="shared" si="7"/>
        <v/>
      </c>
      <c r="E513" s="176" t="str">
        <f t="shared" si="8"/>
        <v/>
      </c>
      <c r="F513" s="408" t="str">
        <f t="shared" si="11"/>
        <v/>
      </c>
      <c r="G513" s="408" t="str">
        <f t="shared" si="12"/>
        <v/>
      </c>
      <c r="H513" s="410">
        <f>IF(K513&gt;='Pro Forma Detail'!D$66,'Pro Forma Detail'!D$67,'Debt ReFi'!$B$5)</f>
        <v>0.0275</v>
      </c>
      <c r="I513" s="1" t="str">
        <f t="shared" si="1"/>
        <v/>
      </c>
      <c r="J513" s="406">
        <f t="shared" si="13"/>
        <v>60906</v>
      </c>
      <c r="K513" s="105">
        <f t="shared" si="9"/>
        <v>46</v>
      </c>
      <c r="L513" s="411" t="str">
        <f t="shared" si="10"/>
        <v/>
      </c>
      <c r="M513" s="407" t="str">
        <f t="shared" si="2"/>
        <v/>
      </c>
      <c r="N513" s="407">
        <f t="shared" si="3"/>
        <v>0</v>
      </c>
      <c r="O513" s="407" t="str">
        <f t="shared" si="4"/>
        <v/>
      </c>
      <c r="P513" s="1"/>
    </row>
    <row r="514" ht="12.75" customHeight="1">
      <c r="A514" s="1">
        <v>503.0</v>
      </c>
      <c r="B514" s="408" t="str">
        <f t="shared" si="5"/>
        <v/>
      </c>
      <c r="C514" s="408">
        <f t="shared" si="6"/>
        <v>0</v>
      </c>
      <c r="D514" s="408" t="str">
        <f t="shared" si="7"/>
        <v/>
      </c>
      <c r="E514" s="176" t="str">
        <f t="shared" si="8"/>
        <v/>
      </c>
      <c r="F514" s="408" t="str">
        <f t="shared" si="11"/>
        <v/>
      </c>
      <c r="G514" s="408" t="str">
        <f t="shared" si="12"/>
        <v/>
      </c>
      <c r="H514" s="410">
        <f>IF(K514&gt;='Pro Forma Detail'!D$66,'Pro Forma Detail'!D$67,'Debt ReFi'!$B$5)</f>
        <v>0.0275</v>
      </c>
      <c r="I514" s="1" t="str">
        <f t="shared" si="1"/>
        <v/>
      </c>
      <c r="J514" s="406">
        <f t="shared" si="13"/>
        <v>60937</v>
      </c>
      <c r="K514" s="105">
        <f t="shared" si="9"/>
        <v>46</v>
      </c>
      <c r="L514" s="411" t="str">
        <f t="shared" si="10"/>
        <v/>
      </c>
      <c r="M514" s="407" t="str">
        <f t="shared" si="2"/>
        <v/>
      </c>
      <c r="N514" s="407">
        <f t="shared" si="3"/>
        <v>0</v>
      </c>
      <c r="O514" s="407" t="str">
        <f t="shared" si="4"/>
        <v/>
      </c>
      <c r="P514" s="1"/>
    </row>
    <row r="515" ht="12.75" customHeight="1">
      <c r="A515" s="1">
        <v>504.0</v>
      </c>
      <c r="B515" s="408" t="str">
        <f t="shared" si="5"/>
        <v/>
      </c>
      <c r="C515" s="408">
        <f t="shared" si="6"/>
        <v>0</v>
      </c>
      <c r="D515" s="408" t="str">
        <f t="shared" si="7"/>
        <v/>
      </c>
      <c r="E515" s="176" t="str">
        <f t="shared" si="8"/>
        <v/>
      </c>
      <c r="F515" s="408" t="str">
        <f t="shared" si="11"/>
        <v/>
      </c>
      <c r="G515" s="408" t="str">
        <f t="shared" si="12"/>
        <v/>
      </c>
      <c r="H515" s="410">
        <f>IF(K515&gt;='Pro Forma Detail'!D$66,'Pro Forma Detail'!D$67,'Debt ReFi'!$B$5)</f>
        <v>0.0275</v>
      </c>
      <c r="I515" s="1" t="str">
        <f t="shared" si="1"/>
        <v/>
      </c>
      <c r="J515" s="406">
        <f t="shared" si="13"/>
        <v>60967</v>
      </c>
      <c r="K515" s="105">
        <f t="shared" si="9"/>
        <v>46</v>
      </c>
      <c r="L515" s="411" t="str">
        <f t="shared" si="10"/>
        <v/>
      </c>
      <c r="M515" s="407" t="str">
        <f t="shared" si="2"/>
        <v/>
      </c>
      <c r="N515" s="407">
        <f t="shared" si="3"/>
        <v>0</v>
      </c>
      <c r="O515" s="407" t="str">
        <f t="shared" si="4"/>
        <v/>
      </c>
      <c r="P515" s="1"/>
    </row>
    <row r="516" ht="12.75" customHeight="1">
      <c r="A516" s="1">
        <v>505.0</v>
      </c>
      <c r="B516" s="408" t="str">
        <f t="shared" si="5"/>
        <v/>
      </c>
      <c r="C516" s="408">
        <f t="shared" si="6"/>
        <v>0</v>
      </c>
      <c r="D516" s="408" t="str">
        <f t="shared" si="7"/>
        <v/>
      </c>
      <c r="E516" s="176" t="str">
        <f t="shared" si="8"/>
        <v/>
      </c>
      <c r="F516" s="408" t="str">
        <f t="shared" si="11"/>
        <v/>
      </c>
      <c r="G516" s="408" t="str">
        <f t="shared" si="12"/>
        <v/>
      </c>
      <c r="H516" s="410">
        <f>IF(K516&gt;='Pro Forma Detail'!D$66,'Pro Forma Detail'!D$67,'Debt ReFi'!$B$5)</f>
        <v>0.0275</v>
      </c>
      <c r="I516" s="1" t="str">
        <f t="shared" si="1"/>
        <v/>
      </c>
      <c r="J516" s="406">
        <f t="shared" si="13"/>
        <v>60998</v>
      </c>
      <c r="K516" s="105">
        <f t="shared" si="9"/>
        <v>47</v>
      </c>
      <c r="L516" s="411" t="str">
        <f t="shared" si="10"/>
        <v/>
      </c>
      <c r="M516" s="407" t="str">
        <f t="shared" si="2"/>
        <v/>
      </c>
      <c r="N516" s="407">
        <f t="shared" si="3"/>
        <v>0</v>
      </c>
      <c r="O516" s="407" t="str">
        <f t="shared" si="4"/>
        <v/>
      </c>
      <c r="P516" s="1"/>
    </row>
    <row r="517" ht="12.75" customHeight="1">
      <c r="A517" s="1">
        <v>506.0</v>
      </c>
      <c r="B517" s="408" t="str">
        <f t="shared" si="5"/>
        <v/>
      </c>
      <c r="C517" s="408">
        <f t="shared" si="6"/>
        <v>0</v>
      </c>
      <c r="D517" s="408" t="str">
        <f t="shared" si="7"/>
        <v/>
      </c>
      <c r="E517" s="176" t="str">
        <f t="shared" si="8"/>
        <v/>
      </c>
      <c r="F517" s="408" t="str">
        <f t="shared" si="11"/>
        <v/>
      </c>
      <c r="G517" s="408" t="str">
        <f t="shared" si="12"/>
        <v/>
      </c>
      <c r="H517" s="410">
        <f>IF(K517&gt;='Pro Forma Detail'!D$66,'Pro Forma Detail'!D$67,'Debt ReFi'!$B$5)</f>
        <v>0.0275</v>
      </c>
      <c r="I517" s="1" t="str">
        <f t="shared" si="1"/>
        <v/>
      </c>
      <c r="J517" s="406">
        <f t="shared" si="13"/>
        <v>61029</v>
      </c>
      <c r="K517" s="105">
        <f t="shared" si="9"/>
        <v>47</v>
      </c>
      <c r="L517" s="411" t="str">
        <f t="shared" si="10"/>
        <v/>
      </c>
      <c r="M517" s="407" t="str">
        <f t="shared" si="2"/>
        <v/>
      </c>
      <c r="N517" s="407">
        <f t="shared" si="3"/>
        <v>0</v>
      </c>
      <c r="O517" s="407" t="str">
        <f t="shared" si="4"/>
        <v/>
      </c>
      <c r="P517" s="1"/>
    </row>
    <row r="518" ht="12.75" customHeight="1">
      <c r="A518" s="1">
        <v>507.0</v>
      </c>
      <c r="B518" s="408" t="str">
        <f t="shared" si="5"/>
        <v/>
      </c>
      <c r="C518" s="408">
        <f t="shared" si="6"/>
        <v>0</v>
      </c>
      <c r="D518" s="408" t="str">
        <f t="shared" si="7"/>
        <v/>
      </c>
      <c r="E518" s="176" t="str">
        <f t="shared" si="8"/>
        <v/>
      </c>
      <c r="F518" s="408" t="str">
        <f t="shared" si="11"/>
        <v/>
      </c>
      <c r="G518" s="408" t="str">
        <f t="shared" si="12"/>
        <v/>
      </c>
      <c r="H518" s="410">
        <f>IF(K518&gt;='Pro Forma Detail'!D$66,'Pro Forma Detail'!D$67,'Debt ReFi'!$B$5)</f>
        <v>0.0275</v>
      </c>
      <c r="I518" s="1" t="str">
        <f t="shared" si="1"/>
        <v/>
      </c>
      <c r="J518" s="406">
        <f t="shared" si="13"/>
        <v>61057</v>
      </c>
      <c r="K518" s="105">
        <f t="shared" si="9"/>
        <v>47</v>
      </c>
      <c r="L518" s="411" t="str">
        <f t="shared" si="10"/>
        <v/>
      </c>
      <c r="M518" s="407" t="str">
        <f t="shared" si="2"/>
        <v/>
      </c>
      <c r="N518" s="407">
        <f t="shared" si="3"/>
        <v>0</v>
      </c>
      <c r="O518" s="407" t="str">
        <f t="shared" si="4"/>
        <v/>
      </c>
      <c r="P518" s="1"/>
    </row>
    <row r="519" ht="12.75" customHeight="1">
      <c r="A519" s="1">
        <v>508.0</v>
      </c>
      <c r="B519" s="408" t="str">
        <f t="shared" si="5"/>
        <v/>
      </c>
      <c r="C519" s="408">
        <f t="shared" si="6"/>
        <v>0</v>
      </c>
      <c r="D519" s="408" t="str">
        <f t="shared" si="7"/>
        <v/>
      </c>
      <c r="E519" s="176" t="str">
        <f t="shared" si="8"/>
        <v/>
      </c>
      <c r="F519" s="408" t="str">
        <f t="shared" si="11"/>
        <v/>
      </c>
      <c r="G519" s="408" t="str">
        <f t="shared" si="12"/>
        <v/>
      </c>
      <c r="H519" s="410">
        <f>IF(K519&gt;='Pro Forma Detail'!D$66,'Pro Forma Detail'!D$67,'Debt ReFi'!$B$5)</f>
        <v>0.0275</v>
      </c>
      <c r="I519" s="1" t="str">
        <f t="shared" si="1"/>
        <v/>
      </c>
      <c r="J519" s="406">
        <f t="shared" si="13"/>
        <v>61088</v>
      </c>
      <c r="K519" s="105">
        <f t="shared" si="9"/>
        <v>47</v>
      </c>
      <c r="L519" s="411" t="str">
        <f t="shared" si="10"/>
        <v/>
      </c>
      <c r="M519" s="407" t="str">
        <f t="shared" si="2"/>
        <v/>
      </c>
      <c r="N519" s="407">
        <f t="shared" si="3"/>
        <v>0</v>
      </c>
      <c r="O519" s="407" t="str">
        <f t="shared" si="4"/>
        <v/>
      </c>
      <c r="P519" s="1"/>
    </row>
    <row r="520" ht="12.75" customHeight="1">
      <c r="A520" s="1">
        <v>509.0</v>
      </c>
      <c r="B520" s="408" t="str">
        <f t="shared" si="5"/>
        <v/>
      </c>
      <c r="C520" s="408">
        <f t="shared" si="6"/>
        <v>0</v>
      </c>
      <c r="D520" s="408" t="str">
        <f t="shared" si="7"/>
        <v/>
      </c>
      <c r="E520" s="176" t="str">
        <f t="shared" si="8"/>
        <v/>
      </c>
      <c r="F520" s="408" t="str">
        <f t="shared" si="11"/>
        <v/>
      </c>
      <c r="G520" s="408" t="str">
        <f t="shared" si="12"/>
        <v/>
      </c>
      <c r="H520" s="410">
        <f>IF(K520&gt;='Pro Forma Detail'!D$66,'Pro Forma Detail'!D$67,'Debt ReFi'!$B$5)</f>
        <v>0.0275</v>
      </c>
      <c r="I520" s="1" t="str">
        <f t="shared" si="1"/>
        <v/>
      </c>
      <c r="J520" s="406">
        <f t="shared" si="13"/>
        <v>61118</v>
      </c>
      <c r="K520" s="105">
        <f t="shared" si="9"/>
        <v>47</v>
      </c>
      <c r="L520" s="411" t="str">
        <f t="shared" si="10"/>
        <v/>
      </c>
      <c r="M520" s="407" t="str">
        <f t="shared" si="2"/>
        <v/>
      </c>
      <c r="N520" s="407">
        <f t="shared" si="3"/>
        <v>0</v>
      </c>
      <c r="O520" s="407" t="str">
        <f t="shared" si="4"/>
        <v/>
      </c>
      <c r="P520" s="1"/>
    </row>
    <row r="521" ht="12.75" customHeight="1">
      <c r="A521" s="1">
        <v>510.0</v>
      </c>
      <c r="B521" s="408" t="str">
        <f t="shared" si="5"/>
        <v/>
      </c>
      <c r="C521" s="408">
        <f t="shared" si="6"/>
        <v>0</v>
      </c>
      <c r="D521" s="408" t="str">
        <f t="shared" si="7"/>
        <v/>
      </c>
      <c r="E521" s="176" t="str">
        <f t="shared" si="8"/>
        <v/>
      </c>
      <c r="F521" s="408" t="str">
        <f t="shared" si="11"/>
        <v/>
      </c>
      <c r="G521" s="408" t="str">
        <f t="shared" si="12"/>
        <v/>
      </c>
      <c r="H521" s="410">
        <f>IF(K521&gt;='Pro Forma Detail'!D$66,'Pro Forma Detail'!D$67,'Debt ReFi'!$B$5)</f>
        <v>0.0275</v>
      </c>
      <c r="I521" s="1" t="str">
        <f t="shared" si="1"/>
        <v/>
      </c>
      <c r="J521" s="406">
        <f t="shared" si="13"/>
        <v>61149</v>
      </c>
      <c r="K521" s="105">
        <f t="shared" si="9"/>
        <v>47</v>
      </c>
      <c r="L521" s="411" t="str">
        <f t="shared" si="10"/>
        <v/>
      </c>
      <c r="M521" s="407" t="str">
        <f t="shared" si="2"/>
        <v/>
      </c>
      <c r="N521" s="407">
        <f t="shared" si="3"/>
        <v>0</v>
      </c>
      <c r="O521" s="407" t="str">
        <f t="shared" si="4"/>
        <v/>
      </c>
      <c r="P521" s="1"/>
    </row>
    <row r="522" ht="12.75" customHeight="1">
      <c r="A522" s="1">
        <v>511.0</v>
      </c>
      <c r="B522" s="408" t="str">
        <f t="shared" si="5"/>
        <v/>
      </c>
      <c r="C522" s="408">
        <f t="shared" si="6"/>
        <v>0</v>
      </c>
      <c r="D522" s="408" t="str">
        <f t="shared" si="7"/>
        <v/>
      </c>
      <c r="E522" s="176" t="str">
        <f t="shared" si="8"/>
        <v/>
      </c>
      <c r="F522" s="408" t="str">
        <f t="shared" si="11"/>
        <v/>
      </c>
      <c r="G522" s="408" t="str">
        <f t="shared" si="12"/>
        <v/>
      </c>
      <c r="H522" s="410">
        <f>IF(K522&gt;='Pro Forma Detail'!D$66,'Pro Forma Detail'!D$67,'Debt ReFi'!$B$5)</f>
        <v>0.0275</v>
      </c>
      <c r="I522" s="1" t="str">
        <f t="shared" si="1"/>
        <v/>
      </c>
      <c r="J522" s="406">
        <f t="shared" si="13"/>
        <v>61179</v>
      </c>
      <c r="K522" s="105">
        <f t="shared" si="9"/>
        <v>47</v>
      </c>
      <c r="L522" s="411" t="str">
        <f t="shared" si="10"/>
        <v/>
      </c>
      <c r="M522" s="407" t="str">
        <f t="shared" si="2"/>
        <v/>
      </c>
      <c r="N522" s="407">
        <f t="shared" si="3"/>
        <v>0</v>
      </c>
      <c r="O522" s="407" t="str">
        <f t="shared" si="4"/>
        <v/>
      </c>
      <c r="P522" s="1"/>
    </row>
    <row r="523" ht="12.75" customHeight="1">
      <c r="A523" s="1">
        <v>512.0</v>
      </c>
      <c r="B523" s="408" t="str">
        <f t="shared" si="5"/>
        <v/>
      </c>
      <c r="C523" s="408">
        <f t="shared" si="6"/>
        <v>0</v>
      </c>
      <c r="D523" s="408" t="str">
        <f t="shared" si="7"/>
        <v/>
      </c>
      <c r="E523" s="176" t="str">
        <f t="shared" si="8"/>
        <v/>
      </c>
      <c r="F523" s="408" t="str">
        <f t="shared" si="11"/>
        <v/>
      </c>
      <c r="G523" s="408" t="str">
        <f t="shared" si="12"/>
        <v/>
      </c>
      <c r="H523" s="410">
        <f>IF(K523&gt;='Pro Forma Detail'!D$66,'Pro Forma Detail'!D$67,'Debt ReFi'!$B$5)</f>
        <v>0.0275</v>
      </c>
      <c r="I523" s="1" t="str">
        <f t="shared" si="1"/>
        <v/>
      </c>
      <c r="J523" s="406">
        <f t="shared" si="13"/>
        <v>61210</v>
      </c>
      <c r="K523" s="105">
        <f t="shared" si="9"/>
        <v>47</v>
      </c>
      <c r="L523" s="411" t="str">
        <f t="shared" si="10"/>
        <v/>
      </c>
      <c r="M523" s="407" t="str">
        <f t="shared" si="2"/>
        <v/>
      </c>
      <c r="N523" s="407">
        <f t="shared" si="3"/>
        <v>0</v>
      </c>
      <c r="O523" s="407" t="str">
        <f t="shared" si="4"/>
        <v/>
      </c>
      <c r="P523" s="1"/>
    </row>
    <row r="524" ht="12.75" customHeight="1">
      <c r="A524" s="1">
        <v>513.0</v>
      </c>
      <c r="B524" s="408" t="str">
        <f t="shared" si="5"/>
        <v/>
      </c>
      <c r="C524" s="408">
        <f t="shared" si="6"/>
        <v>0</v>
      </c>
      <c r="D524" s="408" t="str">
        <f t="shared" si="7"/>
        <v/>
      </c>
      <c r="E524" s="176" t="str">
        <f t="shared" si="8"/>
        <v/>
      </c>
      <c r="F524" s="408" t="str">
        <f t="shared" si="11"/>
        <v/>
      </c>
      <c r="G524" s="408" t="str">
        <f t="shared" si="12"/>
        <v/>
      </c>
      <c r="H524" s="410">
        <f>IF(K524&gt;='Pro Forma Detail'!D$66,'Pro Forma Detail'!D$67,'Debt ReFi'!$B$5)</f>
        <v>0.0275</v>
      </c>
      <c r="I524" s="1" t="str">
        <f t="shared" si="1"/>
        <v/>
      </c>
      <c r="J524" s="406">
        <f t="shared" si="13"/>
        <v>61241</v>
      </c>
      <c r="K524" s="105">
        <f t="shared" si="9"/>
        <v>47</v>
      </c>
      <c r="L524" s="411" t="str">
        <f t="shared" si="10"/>
        <v/>
      </c>
      <c r="M524" s="407" t="str">
        <f t="shared" si="2"/>
        <v/>
      </c>
      <c r="N524" s="407">
        <f t="shared" si="3"/>
        <v>0</v>
      </c>
      <c r="O524" s="407" t="str">
        <f t="shared" si="4"/>
        <v/>
      </c>
      <c r="P524" s="1"/>
    </row>
    <row r="525" ht="12.75" customHeight="1">
      <c r="A525" s="1">
        <v>514.0</v>
      </c>
      <c r="B525" s="408" t="str">
        <f t="shared" si="5"/>
        <v/>
      </c>
      <c r="C525" s="408">
        <f t="shared" si="6"/>
        <v>0</v>
      </c>
      <c r="D525" s="408" t="str">
        <f t="shared" si="7"/>
        <v/>
      </c>
      <c r="E525" s="176" t="str">
        <f t="shared" si="8"/>
        <v/>
      </c>
      <c r="F525" s="408" t="str">
        <f t="shared" si="11"/>
        <v/>
      </c>
      <c r="G525" s="408" t="str">
        <f t="shared" si="12"/>
        <v/>
      </c>
      <c r="H525" s="410">
        <f>IF(K525&gt;='Pro Forma Detail'!D$66,'Pro Forma Detail'!D$67,'Debt ReFi'!$B$5)</f>
        <v>0.0275</v>
      </c>
      <c r="I525" s="1" t="str">
        <f t="shared" si="1"/>
        <v/>
      </c>
      <c r="J525" s="406">
        <f t="shared" si="13"/>
        <v>61271</v>
      </c>
      <c r="K525" s="105">
        <f t="shared" si="9"/>
        <v>47</v>
      </c>
      <c r="L525" s="411" t="str">
        <f t="shared" si="10"/>
        <v/>
      </c>
      <c r="M525" s="407" t="str">
        <f t="shared" si="2"/>
        <v/>
      </c>
      <c r="N525" s="407">
        <f t="shared" si="3"/>
        <v>0</v>
      </c>
      <c r="O525" s="407" t="str">
        <f t="shared" si="4"/>
        <v/>
      </c>
      <c r="P525" s="1"/>
    </row>
    <row r="526" ht="12.75" customHeight="1">
      <c r="A526" s="1">
        <v>515.0</v>
      </c>
      <c r="B526" s="408" t="str">
        <f t="shared" si="5"/>
        <v/>
      </c>
      <c r="C526" s="408">
        <f t="shared" si="6"/>
        <v>0</v>
      </c>
      <c r="D526" s="408" t="str">
        <f t="shared" si="7"/>
        <v/>
      </c>
      <c r="E526" s="176" t="str">
        <f t="shared" si="8"/>
        <v/>
      </c>
      <c r="F526" s="408" t="str">
        <f t="shared" si="11"/>
        <v/>
      </c>
      <c r="G526" s="408" t="str">
        <f t="shared" si="12"/>
        <v/>
      </c>
      <c r="H526" s="410">
        <f>IF(K526&gt;='Pro Forma Detail'!D$66,'Pro Forma Detail'!D$67,'Debt ReFi'!$B$5)</f>
        <v>0.0275</v>
      </c>
      <c r="I526" s="1" t="str">
        <f t="shared" si="1"/>
        <v/>
      </c>
      <c r="J526" s="406">
        <f t="shared" si="13"/>
        <v>61302</v>
      </c>
      <c r="K526" s="105">
        <f t="shared" si="9"/>
        <v>47</v>
      </c>
      <c r="L526" s="411" t="str">
        <f t="shared" si="10"/>
        <v/>
      </c>
      <c r="M526" s="407" t="str">
        <f t="shared" si="2"/>
        <v/>
      </c>
      <c r="N526" s="407">
        <f t="shared" si="3"/>
        <v>0</v>
      </c>
      <c r="O526" s="407" t="str">
        <f t="shared" si="4"/>
        <v/>
      </c>
      <c r="P526" s="1"/>
    </row>
    <row r="527" ht="12.75" customHeight="1">
      <c r="A527" s="1">
        <v>516.0</v>
      </c>
      <c r="B527" s="408" t="str">
        <f t="shared" si="5"/>
        <v/>
      </c>
      <c r="C527" s="408">
        <f t="shared" si="6"/>
        <v>0</v>
      </c>
      <c r="D527" s="408" t="str">
        <f t="shared" si="7"/>
        <v/>
      </c>
      <c r="E527" s="176" t="str">
        <f t="shared" si="8"/>
        <v/>
      </c>
      <c r="F527" s="408" t="str">
        <f t="shared" si="11"/>
        <v/>
      </c>
      <c r="G527" s="408" t="str">
        <f t="shared" si="12"/>
        <v/>
      </c>
      <c r="H527" s="410">
        <f>IF(K527&gt;='Pro Forma Detail'!D$66,'Pro Forma Detail'!D$67,'Debt ReFi'!$B$5)</f>
        <v>0.0275</v>
      </c>
      <c r="I527" s="1" t="str">
        <f t="shared" si="1"/>
        <v/>
      </c>
      <c r="J527" s="406">
        <f t="shared" si="13"/>
        <v>61332</v>
      </c>
      <c r="K527" s="105">
        <f t="shared" si="9"/>
        <v>47</v>
      </c>
      <c r="L527" s="411" t="str">
        <f t="shared" si="10"/>
        <v/>
      </c>
      <c r="M527" s="407" t="str">
        <f t="shared" si="2"/>
        <v/>
      </c>
      <c r="N527" s="407">
        <f t="shared" si="3"/>
        <v>0</v>
      </c>
      <c r="O527" s="407" t="str">
        <f t="shared" si="4"/>
        <v/>
      </c>
      <c r="P527" s="1"/>
    </row>
    <row r="528" ht="12.75" customHeight="1">
      <c r="A528" s="1">
        <v>517.0</v>
      </c>
      <c r="B528" s="408" t="str">
        <f t="shared" si="5"/>
        <v/>
      </c>
      <c r="C528" s="408">
        <f t="shared" si="6"/>
        <v>0</v>
      </c>
      <c r="D528" s="408" t="str">
        <f t="shared" si="7"/>
        <v/>
      </c>
      <c r="E528" s="176" t="str">
        <f t="shared" si="8"/>
        <v/>
      </c>
      <c r="F528" s="408" t="str">
        <f t="shared" si="11"/>
        <v/>
      </c>
      <c r="G528" s="408" t="str">
        <f t="shared" si="12"/>
        <v/>
      </c>
      <c r="H528" s="410">
        <f>IF(K528&gt;='Pro Forma Detail'!D$66,'Pro Forma Detail'!D$67,'Debt ReFi'!$B$5)</f>
        <v>0.0275</v>
      </c>
      <c r="I528" s="1" t="str">
        <f t="shared" si="1"/>
        <v/>
      </c>
      <c r="J528" s="406">
        <f t="shared" si="13"/>
        <v>61363</v>
      </c>
      <c r="K528" s="105">
        <f t="shared" si="9"/>
        <v>48</v>
      </c>
      <c r="L528" s="411" t="str">
        <f t="shared" si="10"/>
        <v/>
      </c>
      <c r="M528" s="407" t="str">
        <f t="shared" si="2"/>
        <v/>
      </c>
      <c r="N528" s="407">
        <f t="shared" si="3"/>
        <v>0</v>
      </c>
      <c r="O528" s="407" t="str">
        <f t="shared" si="4"/>
        <v/>
      </c>
      <c r="P528" s="1"/>
    </row>
    <row r="529" ht="12.75" customHeight="1">
      <c r="A529" s="1">
        <v>518.0</v>
      </c>
      <c r="B529" s="408" t="str">
        <f t="shared" si="5"/>
        <v/>
      </c>
      <c r="C529" s="408">
        <f t="shared" si="6"/>
        <v>0</v>
      </c>
      <c r="D529" s="408" t="str">
        <f t="shared" si="7"/>
        <v/>
      </c>
      <c r="E529" s="176" t="str">
        <f t="shared" si="8"/>
        <v/>
      </c>
      <c r="F529" s="408" t="str">
        <f t="shared" si="11"/>
        <v/>
      </c>
      <c r="G529" s="408" t="str">
        <f t="shared" si="12"/>
        <v/>
      </c>
      <c r="H529" s="410">
        <f>IF(K529&gt;='Pro Forma Detail'!D$66,'Pro Forma Detail'!D$67,'Debt ReFi'!$B$5)</f>
        <v>0.0275</v>
      </c>
      <c r="I529" s="1" t="str">
        <f t="shared" si="1"/>
        <v/>
      </c>
      <c r="J529" s="406">
        <f t="shared" si="13"/>
        <v>61394</v>
      </c>
      <c r="K529" s="105">
        <f t="shared" si="9"/>
        <v>48</v>
      </c>
      <c r="L529" s="411" t="str">
        <f t="shared" si="10"/>
        <v/>
      </c>
      <c r="M529" s="407" t="str">
        <f t="shared" si="2"/>
        <v/>
      </c>
      <c r="N529" s="407">
        <f t="shared" si="3"/>
        <v>0</v>
      </c>
      <c r="O529" s="407" t="str">
        <f t="shared" si="4"/>
        <v/>
      </c>
      <c r="P529" s="1"/>
    </row>
    <row r="530" ht="12.75" customHeight="1">
      <c r="A530" s="1">
        <v>519.0</v>
      </c>
      <c r="B530" s="408" t="str">
        <f t="shared" si="5"/>
        <v/>
      </c>
      <c r="C530" s="408">
        <f t="shared" si="6"/>
        <v>0</v>
      </c>
      <c r="D530" s="408" t="str">
        <f t="shared" si="7"/>
        <v/>
      </c>
      <c r="E530" s="176" t="str">
        <f t="shared" si="8"/>
        <v/>
      </c>
      <c r="F530" s="408" t="str">
        <f t="shared" si="11"/>
        <v/>
      </c>
      <c r="G530" s="408" t="str">
        <f t="shared" si="12"/>
        <v/>
      </c>
      <c r="H530" s="410">
        <f>IF(K530&gt;='Pro Forma Detail'!D$66,'Pro Forma Detail'!D$67,'Debt ReFi'!$B$5)</f>
        <v>0.0275</v>
      </c>
      <c r="I530" s="1" t="str">
        <f t="shared" si="1"/>
        <v/>
      </c>
      <c r="J530" s="406">
        <f t="shared" si="13"/>
        <v>61423</v>
      </c>
      <c r="K530" s="105">
        <f t="shared" si="9"/>
        <v>48</v>
      </c>
      <c r="L530" s="411" t="str">
        <f t="shared" si="10"/>
        <v/>
      </c>
      <c r="M530" s="407" t="str">
        <f t="shared" si="2"/>
        <v/>
      </c>
      <c r="N530" s="407">
        <f t="shared" si="3"/>
        <v>0</v>
      </c>
      <c r="O530" s="407" t="str">
        <f t="shared" si="4"/>
        <v/>
      </c>
      <c r="P530" s="1"/>
    </row>
    <row r="531" ht="12.75" customHeight="1">
      <c r="A531" s="1">
        <v>520.0</v>
      </c>
      <c r="B531" s="408" t="str">
        <f t="shared" si="5"/>
        <v/>
      </c>
      <c r="C531" s="408">
        <f t="shared" si="6"/>
        <v>0</v>
      </c>
      <c r="D531" s="408" t="str">
        <f t="shared" si="7"/>
        <v/>
      </c>
      <c r="E531" s="176" t="str">
        <f t="shared" si="8"/>
        <v/>
      </c>
      <c r="F531" s="408" t="str">
        <f t="shared" si="11"/>
        <v/>
      </c>
      <c r="G531" s="408" t="str">
        <f t="shared" si="12"/>
        <v/>
      </c>
      <c r="H531" s="410">
        <f>IF(K531&gt;='Pro Forma Detail'!D$66,'Pro Forma Detail'!D$67,'Debt ReFi'!$B$5)</f>
        <v>0.0275</v>
      </c>
      <c r="I531" s="1" t="str">
        <f t="shared" si="1"/>
        <v/>
      </c>
      <c r="J531" s="406">
        <f t="shared" si="13"/>
        <v>61454</v>
      </c>
      <c r="K531" s="105">
        <f t="shared" si="9"/>
        <v>48</v>
      </c>
      <c r="L531" s="411" t="str">
        <f t="shared" si="10"/>
        <v/>
      </c>
      <c r="M531" s="407" t="str">
        <f t="shared" si="2"/>
        <v/>
      </c>
      <c r="N531" s="407">
        <f t="shared" si="3"/>
        <v>0</v>
      </c>
      <c r="O531" s="407" t="str">
        <f t="shared" si="4"/>
        <v/>
      </c>
      <c r="P531" s="1"/>
    </row>
    <row r="532" ht="12.75" customHeight="1">
      <c r="A532" s="1">
        <v>521.0</v>
      </c>
      <c r="B532" s="408" t="str">
        <f t="shared" si="5"/>
        <v/>
      </c>
      <c r="C532" s="408">
        <f t="shared" si="6"/>
        <v>0</v>
      </c>
      <c r="D532" s="408" t="str">
        <f t="shared" si="7"/>
        <v/>
      </c>
      <c r="E532" s="176" t="str">
        <f t="shared" si="8"/>
        <v/>
      </c>
      <c r="F532" s="408" t="str">
        <f t="shared" si="11"/>
        <v/>
      </c>
      <c r="G532" s="408" t="str">
        <f t="shared" si="12"/>
        <v/>
      </c>
      <c r="H532" s="410">
        <f>IF(K532&gt;='Pro Forma Detail'!D$66,'Pro Forma Detail'!D$67,'Debt ReFi'!$B$5)</f>
        <v>0.0275</v>
      </c>
      <c r="I532" s="1" t="str">
        <f t="shared" si="1"/>
        <v/>
      </c>
      <c r="J532" s="406">
        <f t="shared" si="13"/>
        <v>61484</v>
      </c>
      <c r="K532" s="105">
        <f t="shared" si="9"/>
        <v>48</v>
      </c>
      <c r="L532" s="411" t="str">
        <f t="shared" si="10"/>
        <v/>
      </c>
      <c r="M532" s="407" t="str">
        <f t="shared" si="2"/>
        <v/>
      </c>
      <c r="N532" s="407">
        <f t="shared" si="3"/>
        <v>0</v>
      </c>
      <c r="O532" s="407" t="str">
        <f t="shared" si="4"/>
        <v/>
      </c>
      <c r="P532" s="1"/>
    </row>
    <row r="533" ht="12.75" customHeight="1">
      <c r="A533" s="1">
        <v>522.0</v>
      </c>
      <c r="B533" s="408" t="str">
        <f t="shared" si="5"/>
        <v/>
      </c>
      <c r="C533" s="408">
        <f t="shared" si="6"/>
        <v>0</v>
      </c>
      <c r="D533" s="408" t="str">
        <f t="shared" si="7"/>
        <v/>
      </c>
      <c r="E533" s="176" t="str">
        <f t="shared" si="8"/>
        <v/>
      </c>
      <c r="F533" s="408" t="str">
        <f t="shared" si="11"/>
        <v/>
      </c>
      <c r="G533" s="408" t="str">
        <f t="shared" si="12"/>
        <v/>
      </c>
      <c r="H533" s="410">
        <f>IF(K533&gt;='Pro Forma Detail'!D$66,'Pro Forma Detail'!D$67,'Debt ReFi'!$B$5)</f>
        <v>0.0275</v>
      </c>
      <c r="I533" s="1" t="str">
        <f t="shared" si="1"/>
        <v/>
      </c>
      <c r="J533" s="406">
        <f t="shared" si="13"/>
        <v>61515</v>
      </c>
      <c r="K533" s="105">
        <f t="shared" si="9"/>
        <v>48</v>
      </c>
      <c r="L533" s="411" t="str">
        <f t="shared" si="10"/>
        <v/>
      </c>
      <c r="M533" s="407" t="str">
        <f t="shared" si="2"/>
        <v/>
      </c>
      <c r="N533" s="407">
        <f t="shared" si="3"/>
        <v>0</v>
      </c>
      <c r="O533" s="407" t="str">
        <f t="shared" si="4"/>
        <v/>
      </c>
      <c r="P533" s="1"/>
    </row>
    <row r="534" ht="12.75" customHeight="1">
      <c r="A534" s="1">
        <v>523.0</v>
      </c>
      <c r="B534" s="408" t="str">
        <f t="shared" si="5"/>
        <v/>
      </c>
      <c r="C534" s="408">
        <f t="shared" si="6"/>
        <v>0</v>
      </c>
      <c r="D534" s="408" t="str">
        <f t="shared" si="7"/>
        <v/>
      </c>
      <c r="E534" s="176" t="str">
        <f t="shared" si="8"/>
        <v/>
      </c>
      <c r="F534" s="408" t="str">
        <f t="shared" si="11"/>
        <v/>
      </c>
      <c r="G534" s="408" t="str">
        <f t="shared" si="12"/>
        <v/>
      </c>
      <c r="H534" s="410">
        <f>IF(K534&gt;='Pro Forma Detail'!D$66,'Pro Forma Detail'!D$67,'Debt ReFi'!$B$5)</f>
        <v>0.0275</v>
      </c>
      <c r="I534" s="1" t="str">
        <f t="shared" si="1"/>
        <v/>
      </c>
      <c r="J534" s="406">
        <f t="shared" si="13"/>
        <v>61545</v>
      </c>
      <c r="K534" s="105">
        <f t="shared" si="9"/>
        <v>48</v>
      </c>
      <c r="L534" s="411" t="str">
        <f t="shared" si="10"/>
        <v/>
      </c>
      <c r="M534" s="407" t="str">
        <f t="shared" si="2"/>
        <v/>
      </c>
      <c r="N534" s="407">
        <f t="shared" si="3"/>
        <v>0</v>
      </c>
      <c r="O534" s="407" t="str">
        <f t="shared" si="4"/>
        <v/>
      </c>
      <c r="P534" s="1"/>
    </row>
    <row r="535" ht="12.75" customHeight="1">
      <c r="A535" s="1">
        <v>524.0</v>
      </c>
      <c r="B535" s="408" t="str">
        <f t="shared" si="5"/>
        <v/>
      </c>
      <c r="C535" s="408">
        <f t="shared" si="6"/>
        <v>0</v>
      </c>
      <c r="D535" s="408" t="str">
        <f t="shared" si="7"/>
        <v/>
      </c>
      <c r="E535" s="176" t="str">
        <f t="shared" si="8"/>
        <v/>
      </c>
      <c r="F535" s="408" t="str">
        <f t="shared" si="11"/>
        <v/>
      </c>
      <c r="G535" s="408" t="str">
        <f t="shared" si="12"/>
        <v/>
      </c>
      <c r="H535" s="410">
        <f>IF(K535&gt;='Pro Forma Detail'!D$66,'Pro Forma Detail'!D$67,'Debt ReFi'!$B$5)</f>
        <v>0.0275</v>
      </c>
      <c r="I535" s="1" t="str">
        <f t="shared" si="1"/>
        <v/>
      </c>
      <c r="J535" s="406">
        <f t="shared" si="13"/>
        <v>61576</v>
      </c>
      <c r="K535" s="105">
        <f t="shared" si="9"/>
        <v>48</v>
      </c>
      <c r="L535" s="411" t="str">
        <f t="shared" si="10"/>
        <v/>
      </c>
      <c r="M535" s="407" t="str">
        <f t="shared" si="2"/>
        <v/>
      </c>
      <c r="N535" s="407">
        <f t="shared" si="3"/>
        <v>0</v>
      </c>
      <c r="O535" s="407" t="str">
        <f t="shared" si="4"/>
        <v/>
      </c>
      <c r="P535" s="1"/>
    </row>
    <row r="536" ht="12.75" customHeight="1">
      <c r="A536" s="1">
        <v>525.0</v>
      </c>
      <c r="B536" s="408" t="str">
        <f t="shared" si="5"/>
        <v/>
      </c>
      <c r="C536" s="408">
        <f t="shared" si="6"/>
        <v>0</v>
      </c>
      <c r="D536" s="408" t="str">
        <f t="shared" si="7"/>
        <v/>
      </c>
      <c r="E536" s="176" t="str">
        <f t="shared" si="8"/>
        <v/>
      </c>
      <c r="F536" s="408" t="str">
        <f t="shared" si="11"/>
        <v/>
      </c>
      <c r="G536" s="408" t="str">
        <f t="shared" si="12"/>
        <v/>
      </c>
      <c r="H536" s="410">
        <f>IF(K536&gt;='Pro Forma Detail'!D$66,'Pro Forma Detail'!D$67,'Debt ReFi'!$B$5)</f>
        <v>0.0275</v>
      </c>
      <c r="I536" s="1" t="str">
        <f t="shared" si="1"/>
        <v/>
      </c>
      <c r="J536" s="406">
        <f t="shared" si="13"/>
        <v>61607</v>
      </c>
      <c r="K536" s="105">
        <f t="shared" si="9"/>
        <v>48</v>
      </c>
      <c r="L536" s="411" t="str">
        <f t="shared" si="10"/>
        <v/>
      </c>
      <c r="M536" s="407" t="str">
        <f t="shared" si="2"/>
        <v/>
      </c>
      <c r="N536" s="407">
        <f t="shared" si="3"/>
        <v>0</v>
      </c>
      <c r="O536" s="407" t="str">
        <f t="shared" si="4"/>
        <v/>
      </c>
      <c r="P536" s="1"/>
    </row>
    <row r="537" ht="12.75" customHeight="1">
      <c r="A537" s="1">
        <v>526.0</v>
      </c>
      <c r="B537" s="408" t="str">
        <f t="shared" si="5"/>
        <v/>
      </c>
      <c r="C537" s="408">
        <f t="shared" si="6"/>
        <v>0</v>
      </c>
      <c r="D537" s="408" t="str">
        <f t="shared" si="7"/>
        <v/>
      </c>
      <c r="E537" s="176" t="str">
        <f t="shared" si="8"/>
        <v/>
      </c>
      <c r="F537" s="408" t="str">
        <f t="shared" si="11"/>
        <v/>
      </c>
      <c r="G537" s="408" t="str">
        <f t="shared" si="12"/>
        <v/>
      </c>
      <c r="H537" s="410">
        <f>IF(K537&gt;='Pro Forma Detail'!D$66,'Pro Forma Detail'!D$67,'Debt ReFi'!$B$5)</f>
        <v>0.0275</v>
      </c>
      <c r="I537" s="1" t="str">
        <f t="shared" si="1"/>
        <v/>
      </c>
      <c r="J537" s="406">
        <f t="shared" si="13"/>
        <v>61637</v>
      </c>
      <c r="K537" s="105">
        <f t="shared" si="9"/>
        <v>48</v>
      </c>
      <c r="L537" s="411" t="str">
        <f t="shared" si="10"/>
        <v/>
      </c>
      <c r="M537" s="407" t="str">
        <f t="shared" si="2"/>
        <v/>
      </c>
      <c r="N537" s="407">
        <f t="shared" si="3"/>
        <v>0</v>
      </c>
      <c r="O537" s="407" t="str">
        <f t="shared" si="4"/>
        <v/>
      </c>
      <c r="P537" s="1"/>
    </row>
    <row r="538" ht="12.75" customHeight="1">
      <c r="A538" s="1">
        <v>527.0</v>
      </c>
      <c r="B538" s="408" t="str">
        <f t="shared" si="5"/>
        <v/>
      </c>
      <c r="C538" s="408">
        <f t="shared" si="6"/>
        <v>0</v>
      </c>
      <c r="D538" s="408" t="str">
        <f t="shared" si="7"/>
        <v/>
      </c>
      <c r="E538" s="176" t="str">
        <f t="shared" si="8"/>
        <v/>
      </c>
      <c r="F538" s="408" t="str">
        <f t="shared" si="11"/>
        <v/>
      </c>
      <c r="G538" s="408" t="str">
        <f t="shared" si="12"/>
        <v/>
      </c>
      <c r="H538" s="410">
        <f>IF(K538&gt;='Pro Forma Detail'!D$66,'Pro Forma Detail'!D$67,'Debt ReFi'!$B$5)</f>
        <v>0.0275</v>
      </c>
      <c r="I538" s="1" t="str">
        <f t="shared" si="1"/>
        <v/>
      </c>
      <c r="J538" s="406">
        <f t="shared" si="13"/>
        <v>61668</v>
      </c>
      <c r="K538" s="105">
        <f t="shared" si="9"/>
        <v>48</v>
      </c>
      <c r="L538" s="411" t="str">
        <f t="shared" si="10"/>
        <v/>
      </c>
      <c r="M538" s="407" t="str">
        <f t="shared" si="2"/>
        <v/>
      </c>
      <c r="N538" s="407">
        <f t="shared" si="3"/>
        <v>0</v>
      </c>
      <c r="O538" s="407" t="str">
        <f t="shared" si="4"/>
        <v/>
      </c>
      <c r="P538" s="1"/>
    </row>
    <row r="539" ht="12.75" customHeight="1">
      <c r="A539" s="1">
        <v>528.0</v>
      </c>
      <c r="B539" s="408" t="str">
        <f t="shared" si="5"/>
        <v/>
      </c>
      <c r="C539" s="408">
        <f t="shared" si="6"/>
        <v>0</v>
      </c>
      <c r="D539" s="408" t="str">
        <f t="shared" si="7"/>
        <v/>
      </c>
      <c r="E539" s="176" t="str">
        <f t="shared" si="8"/>
        <v/>
      </c>
      <c r="F539" s="408" t="str">
        <f t="shared" si="11"/>
        <v/>
      </c>
      <c r="G539" s="408" t="str">
        <f t="shared" si="12"/>
        <v/>
      </c>
      <c r="H539" s="410">
        <f>IF(K539&gt;='Pro Forma Detail'!D$66,'Pro Forma Detail'!D$67,'Debt ReFi'!$B$5)</f>
        <v>0.0275</v>
      </c>
      <c r="I539" s="1" t="str">
        <f t="shared" si="1"/>
        <v/>
      </c>
      <c r="J539" s="406">
        <f t="shared" si="13"/>
        <v>61698</v>
      </c>
      <c r="K539" s="105">
        <f t="shared" si="9"/>
        <v>48</v>
      </c>
      <c r="L539" s="411" t="str">
        <f t="shared" si="10"/>
        <v/>
      </c>
      <c r="M539" s="407" t="str">
        <f t="shared" si="2"/>
        <v/>
      </c>
      <c r="N539" s="407">
        <f t="shared" si="3"/>
        <v>0</v>
      </c>
      <c r="O539" s="407" t="str">
        <f t="shared" si="4"/>
        <v/>
      </c>
      <c r="P539" s="1"/>
    </row>
    <row r="540" ht="12.75" customHeight="1">
      <c r="A540" s="1">
        <v>529.0</v>
      </c>
      <c r="B540" s="408" t="str">
        <f t="shared" si="5"/>
        <v/>
      </c>
      <c r="C540" s="408">
        <f t="shared" si="6"/>
        <v>0</v>
      </c>
      <c r="D540" s="408" t="str">
        <f t="shared" si="7"/>
        <v/>
      </c>
      <c r="E540" s="176" t="str">
        <f t="shared" si="8"/>
        <v/>
      </c>
      <c r="F540" s="408" t="str">
        <f t="shared" si="11"/>
        <v/>
      </c>
      <c r="G540" s="408" t="str">
        <f t="shared" si="12"/>
        <v/>
      </c>
      <c r="H540" s="410">
        <f>IF(K540&gt;='Pro Forma Detail'!D$66,'Pro Forma Detail'!D$67,'Debt ReFi'!$B$5)</f>
        <v>0.0275</v>
      </c>
      <c r="I540" s="1" t="str">
        <f t="shared" si="1"/>
        <v/>
      </c>
      <c r="J540" s="406">
        <f t="shared" si="13"/>
        <v>61729</v>
      </c>
      <c r="K540" s="105">
        <f t="shared" si="9"/>
        <v>49</v>
      </c>
      <c r="L540" s="411" t="str">
        <f t="shared" si="10"/>
        <v/>
      </c>
      <c r="M540" s="407" t="str">
        <f t="shared" si="2"/>
        <v/>
      </c>
      <c r="N540" s="407">
        <f t="shared" si="3"/>
        <v>0</v>
      </c>
      <c r="O540" s="407" t="str">
        <f t="shared" si="4"/>
        <v/>
      </c>
      <c r="P540" s="1"/>
    </row>
    <row r="541" ht="12.75" customHeight="1">
      <c r="A541" s="1">
        <v>530.0</v>
      </c>
      <c r="B541" s="408" t="str">
        <f t="shared" si="5"/>
        <v/>
      </c>
      <c r="C541" s="408">
        <f t="shared" si="6"/>
        <v>0</v>
      </c>
      <c r="D541" s="408" t="str">
        <f t="shared" si="7"/>
        <v/>
      </c>
      <c r="E541" s="176" t="str">
        <f t="shared" si="8"/>
        <v/>
      </c>
      <c r="F541" s="408" t="str">
        <f t="shared" si="11"/>
        <v/>
      </c>
      <c r="G541" s="408" t="str">
        <f t="shared" si="12"/>
        <v/>
      </c>
      <c r="H541" s="410">
        <f>IF(K541&gt;='Pro Forma Detail'!D$66,'Pro Forma Detail'!D$67,'Debt ReFi'!$B$5)</f>
        <v>0.0275</v>
      </c>
      <c r="I541" s="1" t="str">
        <f t="shared" si="1"/>
        <v/>
      </c>
      <c r="J541" s="406">
        <f t="shared" si="13"/>
        <v>61760</v>
      </c>
      <c r="K541" s="105">
        <f t="shared" si="9"/>
        <v>49</v>
      </c>
      <c r="L541" s="411" t="str">
        <f t="shared" si="10"/>
        <v/>
      </c>
      <c r="M541" s="407" t="str">
        <f t="shared" si="2"/>
        <v/>
      </c>
      <c r="N541" s="407">
        <f t="shared" si="3"/>
        <v>0</v>
      </c>
      <c r="O541" s="407" t="str">
        <f t="shared" si="4"/>
        <v/>
      </c>
      <c r="P541" s="1"/>
    </row>
    <row r="542" ht="12.75" customHeight="1">
      <c r="A542" s="1">
        <v>531.0</v>
      </c>
      <c r="B542" s="408" t="str">
        <f t="shared" si="5"/>
        <v/>
      </c>
      <c r="C542" s="408">
        <f t="shared" si="6"/>
        <v>0</v>
      </c>
      <c r="D542" s="408" t="str">
        <f t="shared" si="7"/>
        <v/>
      </c>
      <c r="E542" s="176" t="str">
        <f t="shared" si="8"/>
        <v/>
      </c>
      <c r="F542" s="408" t="str">
        <f t="shared" si="11"/>
        <v/>
      </c>
      <c r="G542" s="408" t="str">
        <f t="shared" si="12"/>
        <v/>
      </c>
      <c r="H542" s="410">
        <f>IF(K542&gt;='Pro Forma Detail'!D$66,'Pro Forma Detail'!D$67,'Debt ReFi'!$B$5)</f>
        <v>0.0275</v>
      </c>
      <c r="I542" s="1" t="str">
        <f t="shared" si="1"/>
        <v/>
      </c>
      <c r="J542" s="406">
        <f t="shared" si="13"/>
        <v>61788</v>
      </c>
      <c r="K542" s="105">
        <f t="shared" si="9"/>
        <v>49</v>
      </c>
      <c r="L542" s="411" t="str">
        <f t="shared" si="10"/>
        <v/>
      </c>
      <c r="M542" s="407" t="str">
        <f t="shared" si="2"/>
        <v/>
      </c>
      <c r="N542" s="407">
        <f t="shared" si="3"/>
        <v>0</v>
      </c>
      <c r="O542" s="407" t="str">
        <f t="shared" si="4"/>
        <v/>
      </c>
      <c r="P542" s="1"/>
    </row>
    <row r="543" ht="12.75" customHeight="1">
      <c r="A543" s="1">
        <v>532.0</v>
      </c>
      <c r="B543" s="408" t="str">
        <f t="shared" si="5"/>
        <v/>
      </c>
      <c r="C543" s="408">
        <f t="shared" si="6"/>
        <v>0</v>
      </c>
      <c r="D543" s="408" t="str">
        <f t="shared" si="7"/>
        <v/>
      </c>
      <c r="E543" s="176" t="str">
        <f t="shared" si="8"/>
        <v/>
      </c>
      <c r="F543" s="408" t="str">
        <f t="shared" si="11"/>
        <v/>
      </c>
      <c r="G543" s="408" t="str">
        <f t="shared" si="12"/>
        <v/>
      </c>
      <c r="H543" s="410">
        <f>IF(K543&gt;='Pro Forma Detail'!D$66,'Pro Forma Detail'!D$67,'Debt ReFi'!$B$5)</f>
        <v>0.0275</v>
      </c>
      <c r="I543" s="1" t="str">
        <f t="shared" si="1"/>
        <v/>
      </c>
      <c r="J543" s="406">
        <f t="shared" si="13"/>
        <v>61819</v>
      </c>
      <c r="K543" s="105">
        <f t="shared" si="9"/>
        <v>49</v>
      </c>
      <c r="L543" s="411" t="str">
        <f t="shared" si="10"/>
        <v/>
      </c>
      <c r="M543" s="407" t="str">
        <f t="shared" si="2"/>
        <v/>
      </c>
      <c r="N543" s="407">
        <f t="shared" si="3"/>
        <v>0</v>
      </c>
      <c r="O543" s="407" t="str">
        <f t="shared" si="4"/>
        <v/>
      </c>
      <c r="P543" s="1"/>
    </row>
    <row r="544" ht="12.75" customHeight="1">
      <c r="A544" s="1">
        <v>533.0</v>
      </c>
      <c r="B544" s="408" t="str">
        <f t="shared" si="5"/>
        <v/>
      </c>
      <c r="C544" s="408">
        <f t="shared" si="6"/>
        <v>0</v>
      </c>
      <c r="D544" s="408" t="str">
        <f t="shared" si="7"/>
        <v/>
      </c>
      <c r="E544" s="176" t="str">
        <f t="shared" si="8"/>
        <v/>
      </c>
      <c r="F544" s="408" t="str">
        <f t="shared" si="11"/>
        <v/>
      </c>
      <c r="G544" s="408" t="str">
        <f t="shared" si="12"/>
        <v/>
      </c>
      <c r="H544" s="410">
        <f>IF(K544&gt;='Pro Forma Detail'!D$66,'Pro Forma Detail'!D$67,'Debt ReFi'!$B$5)</f>
        <v>0.0275</v>
      </c>
      <c r="I544" s="1" t="str">
        <f t="shared" si="1"/>
        <v/>
      </c>
      <c r="J544" s="406">
        <f t="shared" si="13"/>
        <v>61849</v>
      </c>
      <c r="K544" s="105">
        <f t="shared" si="9"/>
        <v>49</v>
      </c>
      <c r="L544" s="411" t="str">
        <f t="shared" si="10"/>
        <v/>
      </c>
      <c r="M544" s="407" t="str">
        <f t="shared" si="2"/>
        <v/>
      </c>
      <c r="N544" s="407">
        <f t="shared" si="3"/>
        <v>0</v>
      </c>
      <c r="O544" s="407" t="str">
        <f t="shared" si="4"/>
        <v/>
      </c>
      <c r="P544" s="1"/>
    </row>
    <row r="545" ht="12.75" customHeight="1">
      <c r="A545" s="1">
        <v>534.0</v>
      </c>
      <c r="B545" s="408" t="str">
        <f t="shared" si="5"/>
        <v/>
      </c>
      <c r="C545" s="408">
        <f t="shared" si="6"/>
        <v>0</v>
      </c>
      <c r="D545" s="408" t="str">
        <f t="shared" si="7"/>
        <v/>
      </c>
      <c r="E545" s="176" t="str">
        <f t="shared" si="8"/>
        <v/>
      </c>
      <c r="F545" s="408" t="str">
        <f t="shared" si="11"/>
        <v/>
      </c>
      <c r="G545" s="408" t="str">
        <f t="shared" si="12"/>
        <v/>
      </c>
      <c r="H545" s="410">
        <f>IF(K545&gt;='Pro Forma Detail'!D$66,'Pro Forma Detail'!D$67,'Debt ReFi'!$B$5)</f>
        <v>0.0275</v>
      </c>
      <c r="I545" s="1" t="str">
        <f t="shared" si="1"/>
        <v/>
      </c>
      <c r="J545" s="406">
        <f t="shared" si="13"/>
        <v>61880</v>
      </c>
      <c r="K545" s="105">
        <f t="shared" si="9"/>
        <v>49</v>
      </c>
      <c r="L545" s="411" t="str">
        <f t="shared" si="10"/>
        <v/>
      </c>
      <c r="M545" s="407" t="str">
        <f t="shared" si="2"/>
        <v/>
      </c>
      <c r="N545" s="407">
        <f t="shared" si="3"/>
        <v>0</v>
      </c>
      <c r="O545" s="407" t="str">
        <f t="shared" si="4"/>
        <v/>
      </c>
      <c r="P545" s="1"/>
    </row>
    <row r="546" ht="12.75" customHeight="1">
      <c r="A546" s="1">
        <v>535.0</v>
      </c>
      <c r="B546" s="408" t="str">
        <f t="shared" si="5"/>
        <v/>
      </c>
      <c r="C546" s="408">
        <f t="shared" si="6"/>
        <v>0</v>
      </c>
      <c r="D546" s="408" t="str">
        <f t="shared" si="7"/>
        <v/>
      </c>
      <c r="E546" s="176" t="str">
        <f t="shared" si="8"/>
        <v/>
      </c>
      <c r="F546" s="408" t="str">
        <f t="shared" si="11"/>
        <v/>
      </c>
      <c r="G546" s="408" t="str">
        <f t="shared" si="12"/>
        <v/>
      </c>
      <c r="H546" s="410">
        <f>IF(K546&gt;='Pro Forma Detail'!D$66,'Pro Forma Detail'!D$67,'Debt ReFi'!$B$5)</f>
        <v>0.0275</v>
      </c>
      <c r="I546" s="1" t="str">
        <f t="shared" si="1"/>
        <v/>
      </c>
      <c r="J546" s="406">
        <f t="shared" si="13"/>
        <v>61910</v>
      </c>
      <c r="K546" s="105">
        <f t="shared" si="9"/>
        <v>49</v>
      </c>
      <c r="L546" s="411" t="str">
        <f t="shared" si="10"/>
        <v/>
      </c>
      <c r="M546" s="407" t="str">
        <f t="shared" si="2"/>
        <v/>
      </c>
      <c r="N546" s="407">
        <f t="shared" si="3"/>
        <v>0</v>
      </c>
      <c r="O546" s="407" t="str">
        <f t="shared" si="4"/>
        <v/>
      </c>
      <c r="P546" s="1"/>
    </row>
    <row r="547" ht="12.75" customHeight="1">
      <c r="A547" s="1">
        <v>536.0</v>
      </c>
      <c r="B547" s="408" t="str">
        <f t="shared" si="5"/>
        <v/>
      </c>
      <c r="C547" s="408">
        <f t="shared" si="6"/>
        <v>0</v>
      </c>
      <c r="D547" s="408" t="str">
        <f t="shared" si="7"/>
        <v/>
      </c>
      <c r="E547" s="176" t="str">
        <f t="shared" si="8"/>
        <v/>
      </c>
      <c r="F547" s="408" t="str">
        <f t="shared" si="11"/>
        <v/>
      </c>
      <c r="G547" s="408" t="str">
        <f t="shared" si="12"/>
        <v/>
      </c>
      <c r="H547" s="410">
        <f>IF(K547&gt;='Pro Forma Detail'!D$66,'Pro Forma Detail'!D$67,'Debt ReFi'!$B$5)</f>
        <v>0.0275</v>
      </c>
      <c r="I547" s="1" t="str">
        <f t="shared" si="1"/>
        <v/>
      </c>
      <c r="J547" s="406">
        <f t="shared" si="13"/>
        <v>61941</v>
      </c>
      <c r="K547" s="105">
        <f t="shared" si="9"/>
        <v>49</v>
      </c>
      <c r="L547" s="411" t="str">
        <f t="shared" si="10"/>
        <v/>
      </c>
      <c r="M547" s="407" t="str">
        <f t="shared" si="2"/>
        <v/>
      </c>
      <c r="N547" s="407">
        <f t="shared" si="3"/>
        <v>0</v>
      </c>
      <c r="O547" s="407" t="str">
        <f t="shared" si="4"/>
        <v/>
      </c>
      <c r="P547" s="1"/>
    </row>
    <row r="548" ht="12.75" customHeight="1">
      <c r="A548" s="1">
        <v>537.0</v>
      </c>
      <c r="B548" s="408" t="str">
        <f t="shared" si="5"/>
        <v/>
      </c>
      <c r="C548" s="408">
        <f t="shared" si="6"/>
        <v>0</v>
      </c>
      <c r="D548" s="408" t="str">
        <f t="shared" si="7"/>
        <v/>
      </c>
      <c r="E548" s="176" t="str">
        <f t="shared" si="8"/>
        <v/>
      </c>
      <c r="F548" s="408" t="str">
        <f t="shared" si="11"/>
        <v/>
      </c>
      <c r="G548" s="408" t="str">
        <f t="shared" si="12"/>
        <v/>
      </c>
      <c r="H548" s="410">
        <f>IF(K548&gt;='Pro Forma Detail'!D$66,'Pro Forma Detail'!D$67,'Debt ReFi'!$B$5)</f>
        <v>0.0275</v>
      </c>
      <c r="I548" s="1" t="str">
        <f t="shared" si="1"/>
        <v/>
      </c>
      <c r="J548" s="406">
        <f t="shared" si="13"/>
        <v>61972</v>
      </c>
      <c r="K548" s="105">
        <f t="shared" si="9"/>
        <v>49</v>
      </c>
      <c r="L548" s="411" t="str">
        <f t="shared" si="10"/>
        <v/>
      </c>
      <c r="M548" s="407" t="str">
        <f t="shared" si="2"/>
        <v/>
      </c>
      <c r="N548" s="407">
        <f t="shared" si="3"/>
        <v>0</v>
      </c>
      <c r="O548" s="407" t="str">
        <f t="shared" si="4"/>
        <v/>
      </c>
      <c r="P548" s="1"/>
    </row>
    <row r="549" ht="12.75" customHeight="1">
      <c r="A549" s="1">
        <v>538.0</v>
      </c>
      <c r="B549" s="408" t="str">
        <f t="shared" si="5"/>
        <v/>
      </c>
      <c r="C549" s="408">
        <f t="shared" si="6"/>
        <v>0</v>
      </c>
      <c r="D549" s="408" t="str">
        <f t="shared" si="7"/>
        <v/>
      </c>
      <c r="E549" s="176" t="str">
        <f t="shared" si="8"/>
        <v/>
      </c>
      <c r="F549" s="408" t="str">
        <f t="shared" si="11"/>
        <v/>
      </c>
      <c r="G549" s="408" t="str">
        <f t="shared" si="12"/>
        <v/>
      </c>
      <c r="H549" s="410">
        <f>IF(K549&gt;='Pro Forma Detail'!D$66,'Pro Forma Detail'!D$67,'Debt ReFi'!$B$5)</f>
        <v>0.0275</v>
      </c>
      <c r="I549" s="1" t="str">
        <f t="shared" si="1"/>
        <v/>
      </c>
      <c r="J549" s="406">
        <f t="shared" si="13"/>
        <v>62002</v>
      </c>
      <c r="K549" s="105">
        <f t="shared" si="9"/>
        <v>49</v>
      </c>
      <c r="L549" s="411" t="str">
        <f t="shared" si="10"/>
        <v/>
      </c>
      <c r="M549" s="407" t="str">
        <f t="shared" si="2"/>
        <v/>
      </c>
      <c r="N549" s="407">
        <f t="shared" si="3"/>
        <v>0</v>
      </c>
      <c r="O549" s="407" t="str">
        <f t="shared" si="4"/>
        <v/>
      </c>
      <c r="P549" s="1"/>
    </row>
    <row r="550" ht="12.75" customHeight="1">
      <c r="A550" s="1">
        <v>539.0</v>
      </c>
      <c r="B550" s="408" t="str">
        <f t="shared" si="5"/>
        <v/>
      </c>
      <c r="C550" s="408">
        <f t="shared" si="6"/>
        <v>0</v>
      </c>
      <c r="D550" s="408" t="str">
        <f t="shared" si="7"/>
        <v/>
      </c>
      <c r="E550" s="176" t="str">
        <f t="shared" si="8"/>
        <v/>
      </c>
      <c r="F550" s="408" t="str">
        <f t="shared" si="11"/>
        <v/>
      </c>
      <c r="G550" s="408" t="str">
        <f t="shared" si="12"/>
        <v/>
      </c>
      <c r="H550" s="410">
        <f>IF(K550&gt;='Pro Forma Detail'!D$66,'Pro Forma Detail'!D$67,'Debt ReFi'!$B$5)</f>
        <v>0.0275</v>
      </c>
      <c r="I550" s="1" t="str">
        <f t="shared" si="1"/>
        <v/>
      </c>
      <c r="J550" s="406">
        <f t="shared" si="13"/>
        <v>62033</v>
      </c>
      <c r="K550" s="105">
        <f t="shared" si="9"/>
        <v>49</v>
      </c>
      <c r="L550" s="411" t="str">
        <f t="shared" si="10"/>
        <v/>
      </c>
      <c r="M550" s="407" t="str">
        <f t="shared" si="2"/>
        <v/>
      </c>
      <c r="N550" s="407">
        <f t="shared" si="3"/>
        <v>0</v>
      </c>
      <c r="O550" s="407" t="str">
        <f t="shared" si="4"/>
        <v/>
      </c>
      <c r="P550" s="1"/>
    </row>
    <row r="551" ht="12.75" customHeight="1">
      <c r="A551" s="1">
        <v>540.0</v>
      </c>
      <c r="B551" s="408" t="str">
        <f t="shared" si="5"/>
        <v/>
      </c>
      <c r="C551" s="408">
        <f t="shared" si="6"/>
        <v>0</v>
      </c>
      <c r="D551" s="408" t="str">
        <f t="shared" si="7"/>
        <v/>
      </c>
      <c r="E551" s="176" t="str">
        <f t="shared" si="8"/>
        <v/>
      </c>
      <c r="F551" s="408" t="str">
        <f t="shared" si="11"/>
        <v/>
      </c>
      <c r="G551" s="408" t="str">
        <f t="shared" si="12"/>
        <v/>
      </c>
      <c r="H551" s="410">
        <f>IF(K551&gt;='Pro Forma Detail'!D$66,'Pro Forma Detail'!D$67,'Debt ReFi'!$B$5)</f>
        <v>0.0275</v>
      </c>
      <c r="I551" s="1" t="str">
        <f t="shared" si="1"/>
        <v/>
      </c>
      <c r="J551" s="406">
        <f t="shared" si="13"/>
        <v>62063</v>
      </c>
      <c r="K551" s="105">
        <f t="shared" si="9"/>
        <v>49</v>
      </c>
      <c r="L551" s="411" t="str">
        <f t="shared" si="10"/>
        <v/>
      </c>
      <c r="M551" s="407" t="str">
        <f t="shared" si="2"/>
        <v/>
      </c>
      <c r="N551" s="407">
        <f t="shared" si="3"/>
        <v>0</v>
      </c>
      <c r="O551" s="407" t="str">
        <f t="shared" si="4"/>
        <v/>
      </c>
      <c r="P551" s="1"/>
    </row>
    <row r="552" ht="12.75" customHeight="1">
      <c r="A552" s="1">
        <v>541.0</v>
      </c>
      <c r="B552" s="408" t="str">
        <f t="shared" si="5"/>
        <v/>
      </c>
      <c r="C552" s="408">
        <f t="shared" si="6"/>
        <v>0</v>
      </c>
      <c r="D552" s="408" t="str">
        <f t="shared" si="7"/>
        <v/>
      </c>
      <c r="E552" s="176" t="str">
        <f t="shared" si="8"/>
        <v/>
      </c>
      <c r="F552" s="408" t="str">
        <f t="shared" si="11"/>
        <v/>
      </c>
      <c r="G552" s="408" t="str">
        <f t="shared" si="12"/>
        <v/>
      </c>
      <c r="H552" s="410">
        <f>IF(K552&gt;='Pro Forma Detail'!D$66,'Pro Forma Detail'!D$67,'Debt ReFi'!$B$5)</f>
        <v>0.0275</v>
      </c>
      <c r="I552" s="1" t="str">
        <f t="shared" si="1"/>
        <v/>
      </c>
      <c r="J552" s="406">
        <f t="shared" si="13"/>
        <v>62094</v>
      </c>
      <c r="K552" s="105">
        <f t="shared" si="9"/>
        <v>50</v>
      </c>
      <c r="L552" s="411" t="str">
        <f t="shared" si="10"/>
        <v/>
      </c>
      <c r="M552" s="407" t="str">
        <f t="shared" si="2"/>
        <v/>
      </c>
      <c r="N552" s="407">
        <f t="shared" si="3"/>
        <v>0</v>
      </c>
      <c r="O552" s="407" t="str">
        <f t="shared" si="4"/>
        <v/>
      </c>
      <c r="P552" s="1"/>
    </row>
    <row r="553" ht="12.75" customHeight="1">
      <c r="A553" s="1">
        <v>542.0</v>
      </c>
      <c r="B553" s="408" t="str">
        <f t="shared" si="5"/>
        <v/>
      </c>
      <c r="C553" s="408">
        <f t="shared" si="6"/>
        <v>0</v>
      </c>
      <c r="D553" s="408" t="str">
        <f t="shared" si="7"/>
        <v/>
      </c>
      <c r="E553" s="176" t="str">
        <f t="shared" si="8"/>
        <v/>
      </c>
      <c r="F553" s="408" t="str">
        <f t="shared" si="11"/>
        <v/>
      </c>
      <c r="G553" s="408" t="str">
        <f t="shared" si="12"/>
        <v/>
      </c>
      <c r="H553" s="410">
        <f>IF(K553&gt;='Pro Forma Detail'!D$66,'Pro Forma Detail'!D$67,'Debt ReFi'!$B$5)</f>
        <v>0.0275</v>
      </c>
      <c r="I553" s="1" t="str">
        <f t="shared" si="1"/>
        <v/>
      </c>
      <c r="J553" s="406">
        <f t="shared" si="13"/>
        <v>62125</v>
      </c>
      <c r="K553" s="105">
        <f t="shared" si="9"/>
        <v>50</v>
      </c>
      <c r="L553" s="411" t="str">
        <f t="shared" si="10"/>
        <v/>
      </c>
      <c r="M553" s="407" t="str">
        <f t="shared" si="2"/>
        <v/>
      </c>
      <c r="N553" s="407">
        <f t="shared" si="3"/>
        <v>0</v>
      </c>
      <c r="O553" s="407" t="str">
        <f t="shared" si="4"/>
        <v/>
      </c>
      <c r="P553" s="1"/>
    </row>
    <row r="554" ht="12.75" customHeight="1">
      <c r="A554" s="1">
        <v>543.0</v>
      </c>
      <c r="B554" s="408" t="str">
        <f t="shared" si="5"/>
        <v/>
      </c>
      <c r="C554" s="408">
        <f t="shared" si="6"/>
        <v>0</v>
      </c>
      <c r="D554" s="408" t="str">
        <f t="shared" si="7"/>
        <v/>
      </c>
      <c r="E554" s="176" t="str">
        <f t="shared" si="8"/>
        <v/>
      </c>
      <c r="F554" s="408" t="str">
        <f t="shared" si="11"/>
        <v/>
      </c>
      <c r="G554" s="408" t="str">
        <f t="shared" si="12"/>
        <v/>
      </c>
      <c r="H554" s="410">
        <f>IF(K554&gt;='Pro Forma Detail'!D$66,'Pro Forma Detail'!D$67,'Debt ReFi'!$B$5)</f>
        <v>0.0275</v>
      </c>
      <c r="I554" s="1" t="str">
        <f t="shared" si="1"/>
        <v/>
      </c>
      <c r="J554" s="406">
        <f t="shared" si="13"/>
        <v>62153</v>
      </c>
      <c r="K554" s="105">
        <f t="shared" si="9"/>
        <v>50</v>
      </c>
      <c r="L554" s="411" t="str">
        <f t="shared" si="10"/>
        <v/>
      </c>
      <c r="M554" s="407" t="str">
        <f t="shared" si="2"/>
        <v/>
      </c>
      <c r="N554" s="407">
        <f t="shared" si="3"/>
        <v>0</v>
      </c>
      <c r="O554" s="407" t="str">
        <f t="shared" si="4"/>
        <v/>
      </c>
      <c r="P554" s="1"/>
    </row>
    <row r="555" ht="12.75" customHeight="1">
      <c r="A555" s="1">
        <v>544.0</v>
      </c>
      <c r="B555" s="408" t="str">
        <f t="shared" si="5"/>
        <v/>
      </c>
      <c r="C555" s="408">
        <f t="shared" si="6"/>
        <v>0</v>
      </c>
      <c r="D555" s="408" t="str">
        <f t="shared" si="7"/>
        <v/>
      </c>
      <c r="E555" s="176" t="str">
        <f t="shared" si="8"/>
        <v/>
      </c>
      <c r="F555" s="408" t="str">
        <f t="shared" si="11"/>
        <v/>
      </c>
      <c r="G555" s="408" t="str">
        <f t="shared" si="12"/>
        <v/>
      </c>
      <c r="H555" s="410">
        <f>IF(K555&gt;='Pro Forma Detail'!D$66,'Pro Forma Detail'!D$67,'Debt ReFi'!$B$5)</f>
        <v>0.0275</v>
      </c>
      <c r="I555" s="1" t="str">
        <f t="shared" si="1"/>
        <v/>
      </c>
      <c r="J555" s="406">
        <f t="shared" si="13"/>
        <v>62184</v>
      </c>
      <c r="K555" s="105">
        <f t="shared" si="9"/>
        <v>50</v>
      </c>
      <c r="L555" s="411" t="str">
        <f t="shared" si="10"/>
        <v/>
      </c>
      <c r="M555" s="407" t="str">
        <f t="shared" si="2"/>
        <v/>
      </c>
      <c r="N555" s="407">
        <f t="shared" si="3"/>
        <v>0</v>
      </c>
      <c r="O555" s="407" t="str">
        <f t="shared" si="4"/>
        <v/>
      </c>
      <c r="P555" s="1"/>
    </row>
    <row r="556" ht="12.75" customHeight="1">
      <c r="A556" s="1">
        <v>545.0</v>
      </c>
      <c r="B556" s="408" t="str">
        <f t="shared" si="5"/>
        <v/>
      </c>
      <c r="C556" s="408">
        <f t="shared" si="6"/>
        <v>0</v>
      </c>
      <c r="D556" s="408" t="str">
        <f t="shared" si="7"/>
        <v/>
      </c>
      <c r="E556" s="176" t="str">
        <f t="shared" si="8"/>
        <v/>
      </c>
      <c r="F556" s="408" t="str">
        <f t="shared" si="11"/>
        <v/>
      </c>
      <c r="G556" s="408" t="str">
        <f t="shared" si="12"/>
        <v/>
      </c>
      <c r="H556" s="410">
        <f>IF(K556&gt;='Pro Forma Detail'!D$66,'Pro Forma Detail'!D$67,'Debt ReFi'!$B$5)</f>
        <v>0.0275</v>
      </c>
      <c r="I556" s="1" t="str">
        <f t="shared" si="1"/>
        <v/>
      </c>
      <c r="J556" s="406">
        <f t="shared" si="13"/>
        <v>62214</v>
      </c>
      <c r="K556" s="105">
        <f t="shared" si="9"/>
        <v>50</v>
      </c>
      <c r="L556" s="411" t="str">
        <f t="shared" si="10"/>
        <v/>
      </c>
      <c r="M556" s="407" t="str">
        <f t="shared" si="2"/>
        <v/>
      </c>
      <c r="N556" s="407">
        <f t="shared" si="3"/>
        <v>0</v>
      </c>
      <c r="O556" s="407" t="str">
        <f t="shared" si="4"/>
        <v/>
      </c>
      <c r="P556" s="1"/>
    </row>
    <row r="557" ht="12.75" customHeight="1">
      <c r="A557" s="1">
        <v>546.0</v>
      </c>
      <c r="B557" s="408" t="str">
        <f t="shared" si="5"/>
        <v/>
      </c>
      <c r="C557" s="408">
        <f t="shared" si="6"/>
        <v>0</v>
      </c>
      <c r="D557" s="408" t="str">
        <f t="shared" si="7"/>
        <v/>
      </c>
      <c r="E557" s="176" t="str">
        <f t="shared" si="8"/>
        <v/>
      </c>
      <c r="F557" s="408" t="str">
        <f t="shared" si="11"/>
        <v/>
      </c>
      <c r="G557" s="408" t="str">
        <f t="shared" si="12"/>
        <v/>
      </c>
      <c r="H557" s="410">
        <f>IF(K557&gt;='Pro Forma Detail'!D$66,'Pro Forma Detail'!D$67,'Debt ReFi'!$B$5)</f>
        <v>0.0275</v>
      </c>
      <c r="I557" s="1" t="str">
        <f t="shared" si="1"/>
        <v/>
      </c>
      <c r="J557" s="406">
        <f t="shared" si="13"/>
        <v>62245</v>
      </c>
      <c r="K557" s="105">
        <f t="shared" si="9"/>
        <v>50</v>
      </c>
      <c r="L557" s="411" t="str">
        <f t="shared" si="10"/>
        <v/>
      </c>
      <c r="M557" s="407" t="str">
        <f t="shared" si="2"/>
        <v/>
      </c>
      <c r="N557" s="407">
        <f t="shared" si="3"/>
        <v>0</v>
      </c>
      <c r="O557" s="407" t="str">
        <f t="shared" si="4"/>
        <v/>
      </c>
      <c r="P557" s="1"/>
    </row>
    <row r="558" ht="12.75" customHeight="1">
      <c r="A558" s="1">
        <v>547.0</v>
      </c>
      <c r="B558" s="408" t="str">
        <f t="shared" si="5"/>
        <v/>
      </c>
      <c r="C558" s="408">
        <f t="shared" si="6"/>
        <v>0</v>
      </c>
      <c r="D558" s="408" t="str">
        <f t="shared" si="7"/>
        <v/>
      </c>
      <c r="E558" s="176" t="str">
        <f t="shared" si="8"/>
        <v/>
      </c>
      <c r="F558" s="408" t="str">
        <f t="shared" si="11"/>
        <v/>
      </c>
      <c r="G558" s="408" t="str">
        <f t="shared" si="12"/>
        <v/>
      </c>
      <c r="H558" s="410">
        <f>IF(K558&gt;='Pro Forma Detail'!D$66,'Pro Forma Detail'!D$67,'Debt ReFi'!$B$5)</f>
        <v>0.0275</v>
      </c>
      <c r="I558" s="1" t="str">
        <f t="shared" si="1"/>
        <v/>
      </c>
      <c r="J558" s="406">
        <f t="shared" si="13"/>
        <v>62275</v>
      </c>
      <c r="K558" s="105">
        <f t="shared" si="9"/>
        <v>50</v>
      </c>
      <c r="L558" s="411" t="str">
        <f t="shared" si="10"/>
        <v/>
      </c>
      <c r="M558" s="407" t="str">
        <f t="shared" si="2"/>
        <v/>
      </c>
      <c r="N558" s="407">
        <f t="shared" si="3"/>
        <v>0</v>
      </c>
      <c r="O558" s="407" t="str">
        <f t="shared" si="4"/>
        <v/>
      </c>
      <c r="P558" s="1"/>
    </row>
    <row r="559" ht="12.75" customHeight="1">
      <c r="A559" s="1">
        <v>548.0</v>
      </c>
      <c r="B559" s="408" t="str">
        <f t="shared" si="5"/>
        <v/>
      </c>
      <c r="C559" s="408">
        <f t="shared" si="6"/>
        <v>0</v>
      </c>
      <c r="D559" s="408" t="str">
        <f t="shared" si="7"/>
        <v/>
      </c>
      <c r="E559" s="176" t="str">
        <f t="shared" si="8"/>
        <v/>
      </c>
      <c r="F559" s="408" t="str">
        <f t="shared" si="11"/>
        <v/>
      </c>
      <c r="G559" s="408" t="str">
        <f t="shared" si="12"/>
        <v/>
      </c>
      <c r="H559" s="410">
        <f>IF(K559&gt;='Pro Forma Detail'!D$66,'Pro Forma Detail'!D$67,'Debt ReFi'!$B$5)</f>
        <v>0.0275</v>
      </c>
      <c r="I559" s="1" t="str">
        <f t="shared" si="1"/>
        <v/>
      </c>
      <c r="J559" s="406">
        <f t="shared" si="13"/>
        <v>62306</v>
      </c>
      <c r="K559" s="105">
        <f t="shared" si="9"/>
        <v>50</v>
      </c>
      <c r="L559" s="411" t="str">
        <f t="shared" si="10"/>
        <v/>
      </c>
      <c r="M559" s="407" t="str">
        <f t="shared" si="2"/>
        <v/>
      </c>
      <c r="N559" s="407">
        <f t="shared" si="3"/>
        <v>0</v>
      </c>
      <c r="O559" s="407" t="str">
        <f t="shared" si="4"/>
        <v/>
      </c>
      <c r="P559" s="1"/>
    </row>
    <row r="560" ht="12.75" customHeight="1">
      <c r="A560" s="1">
        <v>549.0</v>
      </c>
      <c r="B560" s="408" t="str">
        <f t="shared" si="5"/>
        <v/>
      </c>
      <c r="C560" s="408">
        <f t="shared" si="6"/>
        <v>0</v>
      </c>
      <c r="D560" s="408" t="str">
        <f t="shared" si="7"/>
        <v/>
      </c>
      <c r="E560" s="176" t="str">
        <f t="shared" si="8"/>
        <v/>
      </c>
      <c r="F560" s="408" t="str">
        <f t="shared" si="11"/>
        <v/>
      </c>
      <c r="G560" s="408" t="str">
        <f t="shared" si="12"/>
        <v/>
      </c>
      <c r="H560" s="410">
        <f>IF(K560&gt;='Pro Forma Detail'!D$66,'Pro Forma Detail'!D$67,'Debt ReFi'!$B$5)</f>
        <v>0.0275</v>
      </c>
      <c r="I560" s="1" t="str">
        <f t="shared" si="1"/>
        <v/>
      </c>
      <c r="J560" s="406">
        <f t="shared" si="13"/>
        <v>62337</v>
      </c>
      <c r="K560" s="105">
        <f t="shared" si="9"/>
        <v>50</v>
      </c>
      <c r="L560" s="411" t="str">
        <f t="shared" si="10"/>
        <v/>
      </c>
      <c r="M560" s="407" t="str">
        <f t="shared" si="2"/>
        <v/>
      </c>
      <c r="N560" s="407">
        <f t="shared" si="3"/>
        <v>0</v>
      </c>
      <c r="O560" s="407" t="str">
        <f t="shared" si="4"/>
        <v/>
      </c>
      <c r="P560" s="1"/>
    </row>
    <row r="561" ht="12.75" customHeight="1">
      <c r="A561" s="1">
        <v>550.0</v>
      </c>
      <c r="B561" s="408" t="str">
        <f t="shared" si="5"/>
        <v/>
      </c>
      <c r="C561" s="408">
        <f t="shared" si="6"/>
        <v>0</v>
      </c>
      <c r="D561" s="408" t="str">
        <f t="shared" si="7"/>
        <v/>
      </c>
      <c r="E561" s="176" t="str">
        <f t="shared" si="8"/>
        <v/>
      </c>
      <c r="F561" s="408" t="str">
        <f t="shared" si="11"/>
        <v/>
      </c>
      <c r="G561" s="408" t="str">
        <f t="shared" si="12"/>
        <v/>
      </c>
      <c r="H561" s="410">
        <f>IF(K561&gt;='Pro Forma Detail'!D$66,'Pro Forma Detail'!D$67,'Debt ReFi'!$B$5)</f>
        <v>0.0275</v>
      </c>
      <c r="I561" s="1" t="str">
        <f t="shared" si="1"/>
        <v/>
      </c>
      <c r="J561" s="406">
        <f t="shared" si="13"/>
        <v>62367</v>
      </c>
      <c r="K561" s="105">
        <f t="shared" si="9"/>
        <v>50</v>
      </c>
      <c r="L561" s="411" t="str">
        <f t="shared" si="10"/>
        <v/>
      </c>
      <c r="M561" s="407" t="str">
        <f t="shared" si="2"/>
        <v/>
      </c>
      <c r="N561" s="407">
        <f t="shared" si="3"/>
        <v>0</v>
      </c>
      <c r="O561" s="407" t="str">
        <f t="shared" si="4"/>
        <v/>
      </c>
      <c r="P561" s="1"/>
    </row>
    <row r="562" ht="12.75" customHeight="1">
      <c r="A562" s="1">
        <v>551.0</v>
      </c>
      <c r="B562" s="408" t="str">
        <f t="shared" si="5"/>
        <v/>
      </c>
      <c r="C562" s="408">
        <f t="shared" si="6"/>
        <v>0</v>
      </c>
      <c r="D562" s="408" t="str">
        <f t="shared" si="7"/>
        <v/>
      </c>
      <c r="E562" s="176" t="str">
        <f t="shared" si="8"/>
        <v/>
      </c>
      <c r="F562" s="408" t="str">
        <f t="shared" si="11"/>
        <v/>
      </c>
      <c r="G562" s="408" t="str">
        <f t="shared" si="12"/>
        <v/>
      </c>
      <c r="H562" s="410">
        <f>IF(K562&gt;='Pro Forma Detail'!D$66,'Pro Forma Detail'!D$67,'Debt ReFi'!$B$5)</f>
        <v>0.0275</v>
      </c>
      <c r="I562" s="1" t="str">
        <f t="shared" si="1"/>
        <v/>
      </c>
      <c r="J562" s="406">
        <f t="shared" si="13"/>
        <v>62398</v>
      </c>
      <c r="K562" s="105">
        <f t="shared" si="9"/>
        <v>50</v>
      </c>
      <c r="L562" s="411" t="str">
        <f t="shared" si="10"/>
        <v/>
      </c>
      <c r="M562" s="407" t="str">
        <f t="shared" si="2"/>
        <v/>
      </c>
      <c r="N562" s="407">
        <f t="shared" si="3"/>
        <v>0</v>
      </c>
      <c r="O562" s="407" t="str">
        <f t="shared" si="4"/>
        <v/>
      </c>
      <c r="P562" s="1"/>
    </row>
    <row r="563" ht="12.75" customHeight="1">
      <c r="A563" s="1">
        <v>552.0</v>
      </c>
      <c r="B563" s="408" t="str">
        <f t="shared" si="5"/>
        <v/>
      </c>
      <c r="C563" s="408">
        <f t="shared" si="6"/>
        <v>0</v>
      </c>
      <c r="D563" s="408" t="str">
        <f t="shared" si="7"/>
        <v/>
      </c>
      <c r="E563" s="176" t="str">
        <f t="shared" si="8"/>
        <v/>
      </c>
      <c r="F563" s="408" t="str">
        <f t="shared" si="11"/>
        <v/>
      </c>
      <c r="G563" s="408" t="str">
        <f t="shared" si="12"/>
        <v/>
      </c>
      <c r="H563" s="410">
        <f>IF(K563&gt;='Pro Forma Detail'!D$66,'Pro Forma Detail'!D$67,'Debt ReFi'!$B$5)</f>
        <v>0.0275</v>
      </c>
      <c r="I563" s="1" t="str">
        <f t="shared" si="1"/>
        <v/>
      </c>
      <c r="J563" s="406">
        <f t="shared" si="13"/>
        <v>62428</v>
      </c>
      <c r="K563" s="105">
        <f t="shared" si="9"/>
        <v>50</v>
      </c>
      <c r="L563" s="411" t="str">
        <f t="shared" si="10"/>
        <v/>
      </c>
      <c r="M563" s="407" t="str">
        <f t="shared" si="2"/>
        <v/>
      </c>
      <c r="N563" s="407">
        <f t="shared" si="3"/>
        <v>0</v>
      </c>
      <c r="O563" s="407" t="str">
        <f t="shared" si="4"/>
        <v/>
      </c>
      <c r="P563" s="1"/>
    </row>
    <row r="564" ht="12.75" customHeight="1">
      <c r="A564" s="1">
        <v>553.0</v>
      </c>
      <c r="B564" s="408" t="str">
        <f t="shared" si="5"/>
        <v/>
      </c>
      <c r="C564" s="408">
        <f t="shared" si="6"/>
        <v>0</v>
      </c>
      <c r="D564" s="408" t="str">
        <f t="shared" si="7"/>
        <v/>
      </c>
      <c r="E564" s="176" t="str">
        <f t="shared" si="8"/>
        <v/>
      </c>
      <c r="F564" s="408" t="str">
        <f t="shared" si="11"/>
        <v/>
      </c>
      <c r="G564" s="408" t="str">
        <f t="shared" si="12"/>
        <v/>
      </c>
      <c r="H564" s="410">
        <f>IF(K564&gt;='Pro Forma Detail'!D$66,'Pro Forma Detail'!D$67,'Debt ReFi'!$B$5)</f>
        <v>0.0275</v>
      </c>
      <c r="I564" s="1" t="str">
        <f t="shared" si="1"/>
        <v/>
      </c>
      <c r="J564" s="406">
        <f t="shared" si="13"/>
        <v>62459</v>
      </c>
      <c r="K564" s="105">
        <f t="shared" si="9"/>
        <v>51</v>
      </c>
      <c r="L564" s="411" t="str">
        <f t="shared" si="10"/>
        <v/>
      </c>
      <c r="M564" s="407" t="str">
        <f t="shared" si="2"/>
        <v/>
      </c>
      <c r="N564" s="407">
        <f t="shared" si="3"/>
        <v>0</v>
      </c>
      <c r="O564" s="407" t="str">
        <f t="shared" si="4"/>
        <v/>
      </c>
      <c r="P564" s="1"/>
    </row>
    <row r="565" ht="12.75" customHeight="1">
      <c r="A565" s="1">
        <v>554.0</v>
      </c>
      <c r="B565" s="408" t="str">
        <f t="shared" si="5"/>
        <v/>
      </c>
      <c r="C565" s="408">
        <f t="shared" si="6"/>
        <v>0</v>
      </c>
      <c r="D565" s="408" t="str">
        <f t="shared" si="7"/>
        <v/>
      </c>
      <c r="E565" s="176" t="str">
        <f t="shared" si="8"/>
        <v/>
      </c>
      <c r="F565" s="408" t="str">
        <f t="shared" si="11"/>
        <v/>
      </c>
      <c r="G565" s="408" t="str">
        <f t="shared" si="12"/>
        <v/>
      </c>
      <c r="H565" s="410">
        <f>IF(K565&gt;='Pro Forma Detail'!D$66,'Pro Forma Detail'!D$67,'Debt ReFi'!$B$5)</f>
        <v>0.0275</v>
      </c>
      <c r="I565" s="1" t="str">
        <f t="shared" si="1"/>
        <v/>
      </c>
      <c r="J565" s="406">
        <f t="shared" si="13"/>
        <v>62490</v>
      </c>
      <c r="K565" s="105">
        <f t="shared" si="9"/>
        <v>51</v>
      </c>
      <c r="L565" s="411" t="str">
        <f t="shared" si="10"/>
        <v/>
      </c>
      <c r="M565" s="407" t="str">
        <f t="shared" si="2"/>
        <v/>
      </c>
      <c r="N565" s="407">
        <f t="shared" si="3"/>
        <v>0</v>
      </c>
      <c r="O565" s="407" t="str">
        <f t="shared" si="4"/>
        <v/>
      </c>
      <c r="P565" s="1"/>
    </row>
    <row r="566" ht="12.75" customHeight="1">
      <c r="A566" s="1">
        <v>555.0</v>
      </c>
      <c r="B566" s="408" t="str">
        <f t="shared" si="5"/>
        <v/>
      </c>
      <c r="C566" s="408">
        <f t="shared" si="6"/>
        <v>0</v>
      </c>
      <c r="D566" s="408" t="str">
        <f t="shared" si="7"/>
        <v/>
      </c>
      <c r="E566" s="176" t="str">
        <f t="shared" si="8"/>
        <v/>
      </c>
      <c r="F566" s="408" t="str">
        <f t="shared" si="11"/>
        <v/>
      </c>
      <c r="G566" s="408" t="str">
        <f t="shared" si="12"/>
        <v/>
      </c>
      <c r="H566" s="410">
        <f>IF(K566&gt;='Pro Forma Detail'!D$66,'Pro Forma Detail'!D$67,'Debt ReFi'!$B$5)</f>
        <v>0.0275</v>
      </c>
      <c r="I566" s="1" t="str">
        <f t="shared" si="1"/>
        <v/>
      </c>
      <c r="J566" s="406">
        <f t="shared" si="13"/>
        <v>62518</v>
      </c>
      <c r="K566" s="105">
        <f t="shared" si="9"/>
        <v>51</v>
      </c>
      <c r="L566" s="411" t="str">
        <f t="shared" si="10"/>
        <v/>
      </c>
      <c r="M566" s="407" t="str">
        <f t="shared" si="2"/>
        <v/>
      </c>
      <c r="N566" s="407">
        <f t="shared" si="3"/>
        <v>0</v>
      </c>
      <c r="O566" s="407" t="str">
        <f t="shared" si="4"/>
        <v/>
      </c>
      <c r="P566" s="1"/>
    </row>
    <row r="567" ht="12.75" customHeight="1">
      <c r="A567" s="1">
        <v>556.0</v>
      </c>
      <c r="B567" s="408" t="str">
        <f t="shared" si="5"/>
        <v/>
      </c>
      <c r="C567" s="408">
        <f t="shared" si="6"/>
        <v>0</v>
      </c>
      <c r="D567" s="408" t="str">
        <f t="shared" si="7"/>
        <v/>
      </c>
      <c r="E567" s="176" t="str">
        <f t="shared" si="8"/>
        <v/>
      </c>
      <c r="F567" s="408" t="str">
        <f t="shared" si="11"/>
        <v/>
      </c>
      <c r="G567" s="408" t="str">
        <f t="shared" si="12"/>
        <v/>
      </c>
      <c r="H567" s="410">
        <f>IF(K567&gt;='Pro Forma Detail'!D$66,'Pro Forma Detail'!D$67,'Debt ReFi'!$B$5)</f>
        <v>0.0275</v>
      </c>
      <c r="I567" s="1" t="str">
        <f t="shared" si="1"/>
        <v/>
      </c>
      <c r="J567" s="406">
        <f t="shared" si="13"/>
        <v>62549</v>
      </c>
      <c r="K567" s="105">
        <f t="shared" si="9"/>
        <v>51</v>
      </c>
      <c r="L567" s="411" t="str">
        <f t="shared" si="10"/>
        <v/>
      </c>
      <c r="M567" s="407" t="str">
        <f t="shared" si="2"/>
        <v/>
      </c>
      <c r="N567" s="407">
        <f t="shared" si="3"/>
        <v>0</v>
      </c>
      <c r="O567" s="407" t="str">
        <f t="shared" si="4"/>
        <v/>
      </c>
      <c r="P567" s="1"/>
    </row>
    <row r="568" ht="12.75" customHeight="1">
      <c r="A568" s="1">
        <v>557.0</v>
      </c>
      <c r="B568" s="408" t="str">
        <f t="shared" si="5"/>
        <v/>
      </c>
      <c r="C568" s="408">
        <f t="shared" si="6"/>
        <v>0</v>
      </c>
      <c r="D568" s="408" t="str">
        <f t="shared" si="7"/>
        <v/>
      </c>
      <c r="E568" s="176" t="str">
        <f t="shared" si="8"/>
        <v/>
      </c>
      <c r="F568" s="408" t="str">
        <f t="shared" si="11"/>
        <v/>
      </c>
      <c r="G568" s="408" t="str">
        <f t="shared" si="12"/>
        <v/>
      </c>
      <c r="H568" s="410">
        <f>IF(K568&gt;='Pro Forma Detail'!D$66,'Pro Forma Detail'!D$67,'Debt ReFi'!$B$5)</f>
        <v>0.0275</v>
      </c>
      <c r="I568" s="1" t="str">
        <f t="shared" si="1"/>
        <v/>
      </c>
      <c r="J568" s="406">
        <f t="shared" si="13"/>
        <v>62579</v>
      </c>
      <c r="K568" s="105">
        <f t="shared" si="9"/>
        <v>51</v>
      </c>
      <c r="L568" s="411" t="str">
        <f t="shared" si="10"/>
        <v/>
      </c>
      <c r="M568" s="407" t="str">
        <f t="shared" si="2"/>
        <v/>
      </c>
      <c r="N568" s="407">
        <f t="shared" si="3"/>
        <v>0</v>
      </c>
      <c r="O568" s="407" t="str">
        <f t="shared" si="4"/>
        <v/>
      </c>
      <c r="P568" s="1"/>
    </row>
    <row r="569" ht="12.75" customHeight="1">
      <c r="A569" s="1">
        <v>558.0</v>
      </c>
      <c r="B569" s="408" t="str">
        <f t="shared" si="5"/>
        <v/>
      </c>
      <c r="C569" s="408">
        <f t="shared" si="6"/>
        <v>0</v>
      </c>
      <c r="D569" s="408" t="str">
        <f t="shared" si="7"/>
        <v/>
      </c>
      <c r="E569" s="176" t="str">
        <f t="shared" si="8"/>
        <v/>
      </c>
      <c r="F569" s="408" t="str">
        <f t="shared" si="11"/>
        <v/>
      </c>
      <c r="G569" s="408" t="str">
        <f t="shared" si="12"/>
        <v/>
      </c>
      <c r="H569" s="410">
        <f>IF(K569&gt;='Pro Forma Detail'!D$66,'Pro Forma Detail'!D$67,'Debt ReFi'!$B$5)</f>
        <v>0.0275</v>
      </c>
      <c r="I569" s="1" t="str">
        <f t="shared" si="1"/>
        <v/>
      </c>
      <c r="J569" s="406">
        <f t="shared" si="13"/>
        <v>62610</v>
      </c>
      <c r="K569" s="105">
        <f t="shared" si="9"/>
        <v>51</v>
      </c>
      <c r="L569" s="411" t="str">
        <f t="shared" si="10"/>
        <v/>
      </c>
      <c r="M569" s="407" t="str">
        <f t="shared" si="2"/>
        <v/>
      </c>
      <c r="N569" s="407">
        <f t="shared" si="3"/>
        <v>0</v>
      </c>
      <c r="O569" s="407" t="str">
        <f t="shared" si="4"/>
        <v/>
      </c>
      <c r="P569" s="1"/>
    </row>
    <row r="570" ht="12.75" customHeight="1">
      <c r="A570" s="1">
        <v>559.0</v>
      </c>
      <c r="B570" s="408" t="str">
        <f t="shared" si="5"/>
        <v/>
      </c>
      <c r="C570" s="408">
        <f t="shared" si="6"/>
        <v>0</v>
      </c>
      <c r="D570" s="408" t="str">
        <f t="shared" si="7"/>
        <v/>
      </c>
      <c r="E570" s="176" t="str">
        <f t="shared" si="8"/>
        <v/>
      </c>
      <c r="F570" s="408" t="str">
        <f t="shared" si="11"/>
        <v/>
      </c>
      <c r="G570" s="408" t="str">
        <f t="shared" si="12"/>
        <v/>
      </c>
      <c r="H570" s="410">
        <f>IF(K570&gt;='Pro Forma Detail'!D$66,'Pro Forma Detail'!D$67,'Debt ReFi'!$B$5)</f>
        <v>0.0275</v>
      </c>
      <c r="I570" s="1" t="str">
        <f t="shared" si="1"/>
        <v/>
      </c>
      <c r="J570" s="406">
        <f t="shared" si="13"/>
        <v>62640</v>
      </c>
      <c r="K570" s="105">
        <f t="shared" si="9"/>
        <v>51</v>
      </c>
      <c r="L570" s="411" t="str">
        <f t="shared" si="10"/>
        <v/>
      </c>
      <c r="M570" s="407" t="str">
        <f t="shared" si="2"/>
        <v/>
      </c>
      <c r="N570" s="407">
        <f t="shared" si="3"/>
        <v>0</v>
      </c>
      <c r="O570" s="407" t="str">
        <f t="shared" si="4"/>
        <v/>
      </c>
      <c r="P570" s="1"/>
    </row>
    <row r="571" ht="12.75" customHeight="1">
      <c r="A571" s="1">
        <v>560.0</v>
      </c>
      <c r="B571" s="408" t="str">
        <f t="shared" si="5"/>
        <v/>
      </c>
      <c r="C571" s="408">
        <f t="shared" si="6"/>
        <v>0</v>
      </c>
      <c r="D571" s="408" t="str">
        <f t="shared" si="7"/>
        <v/>
      </c>
      <c r="E571" s="176" t="str">
        <f t="shared" si="8"/>
        <v/>
      </c>
      <c r="F571" s="408" t="str">
        <f t="shared" si="11"/>
        <v/>
      </c>
      <c r="G571" s="408" t="str">
        <f t="shared" si="12"/>
        <v/>
      </c>
      <c r="H571" s="410">
        <f>IF(K571&gt;='Pro Forma Detail'!D$66,'Pro Forma Detail'!D$67,'Debt ReFi'!$B$5)</f>
        <v>0.0275</v>
      </c>
      <c r="I571" s="1" t="str">
        <f t="shared" si="1"/>
        <v/>
      </c>
      <c r="J571" s="406">
        <f t="shared" si="13"/>
        <v>62671</v>
      </c>
      <c r="K571" s="105">
        <f t="shared" si="9"/>
        <v>51</v>
      </c>
      <c r="L571" s="411" t="str">
        <f t="shared" si="10"/>
        <v/>
      </c>
      <c r="M571" s="407" t="str">
        <f t="shared" si="2"/>
        <v/>
      </c>
      <c r="N571" s="407">
        <f t="shared" si="3"/>
        <v>0</v>
      </c>
      <c r="O571" s="407" t="str">
        <f t="shared" si="4"/>
        <v/>
      </c>
      <c r="P571" s="1"/>
    </row>
    <row r="572" ht="12.75" customHeight="1">
      <c r="A572" s="1">
        <v>561.0</v>
      </c>
      <c r="B572" s="408" t="str">
        <f t="shared" si="5"/>
        <v/>
      </c>
      <c r="C572" s="408">
        <f t="shared" si="6"/>
        <v>0</v>
      </c>
      <c r="D572" s="408" t="str">
        <f t="shared" si="7"/>
        <v/>
      </c>
      <c r="E572" s="176" t="str">
        <f t="shared" si="8"/>
        <v/>
      </c>
      <c r="F572" s="408" t="str">
        <f t="shared" si="11"/>
        <v/>
      </c>
      <c r="G572" s="408" t="str">
        <f t="shared" si="12"/>
        <v/>
      </c>
      <c r="H572" s="410">
        <f>IF(K572&gt;='Pro Forma Detail'!D$66,'Pro Forma Detail'!D$67,'Debt ReFi'!$B$5)</f>
        <v>0.0275</v>
      </c>
      <c r="I572" s="1" t="str">
        <f t="shared" si="1"/>
        <v/>
      </c>
      <c r="J572" s="406">
        <f t="shared" si="13"/>
        <v>62702</v>
      </c>
      <c r="K572" s="105">
        <f t="shared" si="9"/>
        <v>51</v>
      </c>
      <c r="L572" s="411" t="str">
        <f t="shared" si="10"/>
        <v/>
      </c>
      <c r="M572" s="407" t="str">
        <f t="shared" si="2"/>
        <v/>
      </c>
      <c r="N572" s="407">
        <f t="shared" si="3"/>
        <v>0</v>
      </c>
      <c r="O572" s="407" t="str">
        <f t="shared" si="4"/>
        <v/>
      </c>
      <c r="P572" s="1"/>
    </row>
    <row r="573" ht="12.75" customHeight="1">
      <c r="A573" s="1">
        <v>562.0</v>
      </c>
      <c r="B573" s="408" t="str">
        <f t="shared" si="5"/>
        <v/>
      </c>
      <c r="C573" s="408">
        <f t="shared" si="6"/>
        <v>0</v>
      </c>
      <c r="D573" s="408" t="str">
        <f t="shared" si="7"/>
        <v/>
      </c>
      <c r="E573" s="176" t="str">
        <f t="shared" si="8"/>
        <v/>
      </c>
      <c r="F573" s="408" t="str">
        <f t="shared" si="11"/>
        <v/>
      </c>
      <c r="G573" s="408" t="str">
        <f t="shared" si="12"/>
        <v/>
      </c>
      <c r="H573" s="410">
        <f>IF(K573&gt;='Pro Forma Detail'!D$66,'Pro Forma Detail'!D$67,'Debt ReFi'!$B$5)</f>
        <v>0.0275</v>
      </c>
      <c r="I573" s="1" t="str">
        <f t="shared" si="1"/>
        <v/>
      </c>
      <c r="J573" s="406">
        <f t="shared" si="13"/>
        <v>62732</v>
      </c>
      <c r="K573" s="105">
        <f t="shared" si="9"/>
        <v>51</v>
      </c>
      <c r="L573" s="411" t="str">
        <f t="shared" si="10"/>
        <v/>
      </c>
      <c r="M573" s="407" t="str">
        <f t="shared" si="2"/>
        <v/>
      </c>
      <c r="N573" s="407">
        <f t="shared" si="3"/>
        <v>0</v>
      </c>
      <c r="O573" s="407" t="str">
        <f t="shared" si="4"/>
        <v/>
      </c>
      <c r="P573" s="1"/>
    </row>
    <row r="574" ht="12.75" customHeight="1">
      <c r="A574" s="1">
        <v>563.0</v>
      </c>
      <c r="B574" s="408" t="str">
        <f t="shared" si="5"/>
        <v/>
      </c>
      <c r="C574" s="408">
        <f t="shared" si="6"/>
        <v>0</v>
      </c>
      <c r="D574" s="408" t="str">
        <f t="shared" si="7"/>
        <v/>
      </c>
      <c r="E574" s="176" t="str">
        <f t="shared" si="8"/>
        <v/>
      </c>
      <c r="F574" s="408" t="str">
        <f t="shared" si="11"/>
        <v/>
      </c>
      <c r="G574" s="408" t="str">
        <f t="shared" si="12"/>
        <v/>
      </c>
      <c r="H574" s="410">
        <f>IF(K574&gt;='Pro Forma Detail'!D$66,'Pro Forma Detail'!D$67,'Debt ReFi'!$B$5)</f>
        <v>0.0275</v>
      </c>
      <c r="I574" s="1" t="str">
        <f t="shared" si="1"/>
        <v/>
      </c>
      <c r="J574" s="406">
        <f t="shared" si="13"/>
        <v>62763</v>
      </c>
      <c r="K574" s="105">
        <f t="shared" si="9"/>
        <v>51</v>
      </c>
      <c r="L574" s="411" t="str">
        <f t="shared" si="10"/>
        <v/>
      </c>
      <c r="M574" s="407" t="str">
        <f t="shared" si="2"/>
        <v/>
      </c>
      <c r="N574" s="407">
        <f t="shared" si="3"/>
        <v>0</v>
      </c>
      <c r="O574" s="407" t="str">
        <f t="shared" si="4"/>
        <v/>
      </c>
      <c r="P574" s="1"/>
    </row>
    <row r="575" ht="12.75" customHeight="1">
      <c r="A575" s="1">
        <v>564.0</v>
      </c>
      <c r="B575" s="408" t="str">
        <f t="shared" si="5"/>
        <v/>
      </c>
      <c r="C575" s="408">
        <f t="shared" si="6"/>
        <v>0</v>
      </c>
      <c r="D575" s="408" t="str">
        <f t="shared" si="7"/>
        <v/>
      </c>
      <c r="E575" s="176" t="str">
        <f t="shared" si="8"/>
        <v/>
      </c>
      <c r="F575" s="408" t="str">
        <f t="shared" si="11"/>
        <v/>
      </c>
      <c r="G575" s="408" t="str">
        <f t="shared" si="12"/>
        <v/>
      </c>
      <c r="H575" s="410">
        <f>IF(K575&gt;='Pro Forma Detail'!D$66,'Pro Forma Detail'!D$67,'Debt ReFi'!$B$5)</f>
        <v>0.0275</v>
      </c>
      <c r="I575" s="1" t="str">
        <f t="shared" si="1"/>
        <v/>
      </c>
      <c r="J575" s="406">
        <f t="shared" si="13"/>
        <v>62793</v>
      </c>
      <c r="K575" s="105">
        <f t="shared" si="9"/>
        <v>51</v>
      </c>
      <c r="L575" s="411" t="str">
        <f t="shared" si="10"/>
        <v/>
      </c>
      <c r="M575" s="407" t="str">
        <f t="shared" si="2"/>
        <v/>
      </c>
      <c r="N575" s="407">
        <f t="shared" si="3"/>
        <v>0</v>
      </c>
      <c r="O575" s="407" t="str">
        <f t="shared" si="4"/>
        <v/>
      </c>
      <c r="P575" s="1"/>
    </row>
    <row r="576" ht="12.75" customHeight="1">
      <c r="A576" s="1">
        <v>565.0</v>
      </c>
      <c r="B576" s="408" t="str">
        <f t="shared" si="5"/>
        <v/>
      </c>
      <c r="C576" s="408">
        <f t="shared" si="6"/>
        <v>0</v>
      </c>
      <c r="D576" s="408" t="str">
        <f t="shared" si="7"/>
        <v/>
      </c>
      <c r="E576" s="176" t="str">
        <f t="shared" si="8"/>
        <v/>
      </c>
      <c r="F576" s="408" t="str">
        <f t="shared" si="11"/>
        <v/>
      </c>
      <c r="G576" s="408" t="str">
        <f t="shared" si="12"/>
        <v/>
      </c>
      <c r="H576" s="410">
        <f>IF(K576&gt;='Pro Forma Detail'!D$66,'Pro Forma Detail'!D$67,'Debt ReFi'!$B$5)</f>
        <v>0.0275</v>
      </c>
      <c r="I576" s="1" t="str">
        <f t="shared" si="1"/>
        <v/>
      </c>
      <c r="J576" s="406">
        <f t="shared" si="13"/>
        <v>62824</v>
      </c>
      <c r="K576" s="105">
        <f t="shared" si="9"/>
        <v>52</v>
      </c>
      <c r="L576" s="411" t="str">
        <f t="shared" si="10"/>
        <v/>
      </c>
      <c r="M576" s="407" t="str">
        <f t="shared" si="2"/>
        <v/>
      </c>
      <c r="N576" s="407">
        <f t="shared" si="3"/>
        <v>0</v>
      </c>
      <c r="O576" s="407" t="str">
        <f t="shared" si="4"/>
        <v/>
      </c>
      <c r="P576" s="1"/>
    </row>
    <row r="577" ht="12.75" customHeight="1">
      <c r="A577" s="1">
        <v>566.0</v>
      </c>
      <c r="B577" s="408" t="str">
        <f t="shared" si="5"/>
        <v/>
      </c>
      <c r="C577" s="408">
        <f t="shared" si="6"/>
        <v>0</v>
      </c>
      <c r="D577" s="408" t="str">
        <f t="shared" si="7"/>
        <v/>
      </c>
      <c r="E577" s="176" t="str">
        <f t="shared" si="8"/>
        <v/>
      </c>
      <c r="F577" s="408" t="str">
        <f t="shared" si="11"/>
        <v/>
      </c>
      <c r="G577" s="408" t="str">
        <f t="shared" si="12"/>
        <v/>
      </c>
      <c r="H577" s="410">
        <f>IF(K577&gt;='Pro Forma Detail'!D$66,'Pro Forma Detail'!D$67,'Debt ReFi'!$B$5)</f>
        <v>0.0275</v>
      </c>
      <c r="I577" s="1" t="str">
        <f t="shared" si="1"/>
        <v/>
      </c>
      <c r="J577" s="406">
        <f t="shared" si="13"/>
        <v>62855</v>
      </c>
      <c r="K577" s="105">
        <f t="shared" si="9"/>
        <v>52</v>
      </c>
      <c r="L577" s="411" t="str">
        <f t="shared" si="10"/>
        <v/>
      </c>
      <c r="M577" s="407" t="str">
        <f t="shared" si="2"/>
        <v/>
      </c>
      <c r="N577" s="407">
        <f t="shared" si="3"/>
        <v>0</v>
      </c>
      <c r="O577" s="407" t="str">
        <f t="shared" si="4"/>
        <v/>
      </c>
      <c r="P577" s="1"/>
    </row>
    <row r="578" ht="12.75" customHeight="1">
      <c r="A578" s="1">
        <v>567.0</v>
      </c>
      <c r="B578" s="408" t="str">
        <f t="shared" si="5"/>
        <v/>
      </c>
      <c r="C578" s="408">
        <f t="shared" si="6"/>
        <v>0</v>
      </c>
      <c r="D578" s="408" t="str">
        <f t="shared" si="7"/>
        <v/>
      </c>
      <c r="E578" s="176" t="str">
        <f t="shared" si="8"/>
        <v/>
      </c>
      <c r="F578" s="408" t="str">
        <f t="shared" si="11"/>
        <v/>
      </c>
      <c r="G578" s="408" t="str">
        <f t="shared" si="12"/>
        <v/>
      </c>
      <c r="H578" s="410">
        <f>IF(K578&gt;='Pro Forma Detail'!D$66,'Pro Forma Detail'!D$67,'Debt ReFi'!$B$5)</f>
        <v>0.0275</v>
      </c>
      <c r="I578" s="1" t="str">
        <f t="shared" si="1"/>
        <v/>
      </c>
      <c r="J578" s="406">
        <f t="shared" si="13"/>
        <v>62884</v>
      </c>
      <c r="K578" s="105">
        <f t="shared" si="9"/>
        <v>52</v>
      </c>
      <c r="L578" s="411" t="str">
        <f t="shared" si="10"/>
        <v/>
      </c>
      <c r="M578" s="407" t="str">
        <f t="shared" si="2"/>
        <v/>
      </c>
      <c r="N578" s="407">
        <f t="shared" si="3"/>
        <v>0</v>
      </c>
      <c r="O578" s="407" t="str">
        <f t="shared" si="4"/>
        <v/>
      </c>
      <c r="P578" s="1"/>
    </row>
    <row r="579" ht="12.75" customHeight="1">
      <c r="A579" s="1">
        <v>568.0</v>
      </c>
      <c r="B579" s="408" t="str">
        <f t="shared" si="5"/>
        <v/>
      </c>
      <c r="C579" s="408">
        <f t="shared" si="6"/>
        <v>0</v>
      </c>
      <c r="D579" s="408" t="str">
        <f t="shared" si="7"/>
        <v/>
      </c>
      <c r="E579" s="176" t="str">
        <f t="shared" si="8"/>
        <v/>
      </c>
      <c r="F579" s="408" t="str">
        <f t="shared" si="11"/>
        <v/>
      </c>
      <c r="G579" s="408" t="str">
        <f t="shared" si="12"/>
        <v/>
      </c>
      <c r="H579" s="410">
        <f>IF(K579&gt;='Pro Forma Detail'!D$66,'Pro Forma Detail'!D$67,'Debt ReFi'!$B$5)</f>
        <v>0.0275</v>
      </c>
      <c r="I579" s="1" t="str">
        <f t="shared" si="1"/>
        <v/>
      </c>
      <c r="J579" s="406">
        <f t="shared" si="13"/>
        <v>62915</v>
      </c>
      <c r="K579" s="105">
        <f t="shared" si="9"/>
        <v>52</v>
      </c>
      <c r="L579" s="411" t="str">
        <f t="shared" si="10"/>
        <v/>
      </c>
      <c r="M579" s="407" t="str">
        <f t="shared" si="2"/>
        <v/>
      </c>
      <c r="N579" s="407">
        <f t="shared" si="3"/>
        <v>0</v>
      </c>
      <c r="O579" s="407" t="str">
        <f t="shared" si="4"/>
        <v/>
      </c>
      <c r="P579" s="1"/>
    </row>
    <row r="580" ht="12.75" customHeight="1">
      <c r="A580" s="1">
        <v>569.0</v>
      </c>
      <c r="B580" s="408" t="str">
        <f t="shared" si="5"/>
        <v/>
      </c>
      <c r="C580" s="408">
        <f t="shared" si="6"/>
        <v>0</v>
      </c>
      <c r="D580" s="408" t="str">
        <f t="shared" si="7"/>
        <v/>
      </c>
      <c r="E580" s="176" t="str">
        <f t="shared" si="8"/>
        <v/>
      </c>
      <c r="F580" s="408" t="str">
        <f t="shared" si="11"/>
        <v/>
      </c>
      <c r="G580" s="408" t="str">
        <f t="shared" si="12"/>
        <v/>
      </c>
      <c r="H580" s="410">
        <f>IF(K580&gt;='Pro Forma Detail'!D$66,'Pro Forma Detail'!D$67,'Debt ReFi'!$B$5)</f>
        <v>0.0275</v>
      </c>
      <c r="I580" s="1" t="str">
        <f t="shared" si="1"/>
        <v/>
      </c>
      <c r="J580" s="406">
        <f t="shared" si="13"/>
        <v>62945</v>
      </c>
      <c r="K580" s="105">
        <f t="shared" si="9"/>
        <v>52</v>
      </c>
      <c r="L580" s="411" t="str">
        <f t="shared" si="10"/>
        <v/>
      </c>
      <c r="M580" s="407" t="str">
        <f t="shared" si="2"/>
        <v/>
      </c>
      <c r="N580" s="407">
        <f t="shared" si="3"/>
        <v>0</v>
      </c>
      <c r="O580" s="407" t="str">
        <f t="shared" si="4"/>
        <v/>
      </c>
      <c r="P580" s="1"/>
    </row>
    <row r="581" ht="12.75" customHeight="1">
      <c r="A581" s="1">
        <v>570.0</v>
      </c>
      <c r="B581" s="408" t="str">
        <f t="shared" si="5"/>
        <v/>
      </c>
      <c r="C581" s="408">
        <f t="shared" si="6"/>
        <v>0</v>
      </c>
      <c r="D581" s="408" t="str">
        <f t="shared" si="7"/>
        <v/>
      </c>
      <c r="E581" s="176" t="str">
        <f t="shared" si="8"/>
        <v/>
      </c>
      <c r="F581" s="408" t="str">
        <f t="shared" si="11"/>
        <v/>
      </c>
      <c r="G581" s="408" t="str">
        <f t="shared" si="12"/>
        <v/>
      </c>
      <c r="H581" s="410">
        <f>IF(K581&gt;='Pro Forma Detail'!D$66,'Pro Forma Detail'!D$67,'Debt ReFi'!$B$5)</f>
        <v>0.0275</v>
      </c>
      <c r="I581" s="1" t="str">
        <f t="shared" si="1"/>
        <v/>
      </c>
      <c r="J581" s="406">
        <f t="shared" si="13"/>
        <v>62976</v>
      </c>
      <c r="K581" s="105">
        <f t="shared" si="9"/>
        <v>52</v>
      </c>
      <c r="L581" s="411" t="str">
        <f t="shared" si="10"/>
        <v/>
      </c>
      <c r="M581" s="407" t="str">
        <f t="shared" si="2"/>
        <v/>
      </c>
      <c r="N581" s="407">
        <f t="shared" si="3"/>
        <v>0</v>
      </c>
      <c r="O581" s="407" t="str">
        <f t="shared" si="4"/>
        <v/>
      </c>
      <c r="P581" s="1"/>
    </row>
    <row r="582" ht="12.75" customHeight="1">
      <c r="A582" s="1">
        <v>571.0</v>
      </c>
      <c r="B582" s="408" t="str">
        <f t="shared" si="5"/>
        <v/>
      </c>
      <c r="C582" s="408">
        <f t="shared" si="6"/>
        <v>0</v>
      </c>
      <c r="D582" s="408" t="str">
        <f t="shared" si="7"/>
        <v/>
      </c>
      <c r="E582" s="176" t="str">
        <f t="shared" si="8"/>
        <v/>
      </c>
      <c r="F582" s="408" t="str">
        <f t="shared" si="11"/>
        <v/>
      </c>
      <c r="G582" s="408" t="str">
        <f t="shared" si="12"/>
        <v/>
      </c>
      <c r="H582" s="410">
        <f>IF(K582&gt;='Pro Forma Detail'!D$66,'Pro Forma Detail'!D$67,'Debt ReFi'!$B$5)</f>
        <v>0.0275</v>
      </c>
      <c r="I582" s="1" t="str">
        <f t="shared" si="1"/>
        <v/>
      </c>
      <c r="J582" s="406">
        <f t="shared" si="13"/>
        <v>63006</v>
      </c>
      <c r="K582" s="105">
        <f t="shared" si="9"/>
        <v>52</v>
      </c>
      <c r="L582" s="411" t="str">
        <f t="shared" si="10"/>
        <v/>
      </c>
      <c r="M582" s="407" t="str">
        <f t="shared" si="2"/>
        <v/>
      </c>
      <c r="N582" s="407">
        <f t="shared" si="3"/>
        <v>0</v>
      </c>
      <c r="O582" s="407" t="str">
        <f t="shared" si="4"/>
        <v/>
      </c>
      <c r="P582" s="1"/>
    </row>
    <row r="583" ht="12.75" customHeight="1">
      <c r="A583" s="1">
        <v>572.0</v>
      </c>
      <c r="B583" s="408" t="str">
        <f t="shared" si="5"/>
        <v/>
      </c>
      <c r="C583" s="408">
        <f t="shared" si="6"/>
        <v>0</v>
      </c>
      <c r="D583" s="408" t="str">
        <f t="shared" si="7"/>
        <v/>
      </c>
      <c r="E583" s="176" t="str">
        <f t="shared" si="8"/>
        <v/>
      </c>
      <c r="F583" s="408" t="str">
        <f t="shared" si="11"/>
        <v/>
      </c>
      <c r="G583" s="408" t="str">
        <f t="shared" si="12"/>
        <v/>
      </c>
      <c r="H583" s="410">
        <f>IF(K583&gt;='Pro Forma Detail'!D$66,'Pro Forma Detail'!D$67,'Debt ReFi'!$B$5)</f>
        <v>0.0275</v>
      </c>
      <c r="I583" s="1" t="str">
        <f t="shared" si="1"/>
        <v/>
      </c>
      <c r="J583" s="406">
        <f t="shared" si="13"/>
        <v>63037</v>
      </c>
      <c r="K583" s="105">
        <f t="shared" si="9"/>
        <v>52</v>
      </c>
      <c r="L583" s="411" t="str">
        <f t="shared" si="10"/>
        <v/>
      </c>
      <c r="M583" s="407" t="str">
        <f t="shared" si="2"/>
        <v/>
      </c>
      <c r="N583" s="407">
        <f t="shared" si="3"/>
        <v>0</v>
      </c>
      <c r="O583" s="407" t="str">
        <f t="shared" si="4"/>
        <v/>
      </c>
      <c r="P583" s="1"/>
    </row>
    <row r="584" ht="12.75" customHeight="1">
      <c r="A584" s="1">
        <v>573.0</v>
      </c>
      <c r="B584" s="408" t="str">
        <f t="shared" si="5"/>
        <v/>
      </c>
      <c r="C584" s="408">
        <f t="shared" si="6"/>
        <v>0</v>
      </c>
      <c r="D584" s="408" t="str">
        <f t="shared" si="7"/>
        <v/>
      </c>
      <c r="E584" s="176" t="str">
        <f t="shared" si="8"/>
        <v/>
      </c>
      <c r="F584" s="408" t="str">
        <f t="shared" si="11"/>
        <v/>
      </c>
      <c r="G584" s="408" t="str">
        <f t="shared" si="12"/>
        <v/>
      </c>
      <c r="H584" s="410">
        <f>IF(K584&gt;='Pro Forma Detail'!D$66,'Pro Forma Detail'!D$67,'Debt ReFi'!$B$5)</f>
        <v>0.0275</v>
      </c>
      <c r="I584" s="1" t="str">
        <f t="shared" si="1"/>
        <v/>
      </c>
      <c r="J584" s="406">
        <f t="shared" si="13"/>
        <v>63068</v>
      </c>
      <c r="K584" s="105">
        <f t="shared" si="9"/>
        <v>52</v>
      </c>
      <c r="L584" s="411" t="str">
        <f t="shared" si="10"/>
        <v/>
      </c>
      <c r="M584" s="407" t="str">
        <f t="shared" si="2"/>
        <v/>
      </c>
      <c r="N584" s="407">
        <f t="shared" si="3"/>
        <v>0</v>
      </c>
      <c r="O584" s="407" t="str">
        <f t="shared" si="4"/>
        <v/>
      </c>
      <c r="P584" s="1"/>
    </row>
    <row r="585" ht="12.75" customHeight="1">
      <c r="A585" s="1">
        <v>574.0</v>
      </c>
      <c r="B585" s="408" t="str">
        <f t="shared" si="5"/>
        <v/>
      </c>
      <c r="C585" s="408">
        <f t="shared" si="6"/>
        <v>0</v>
      </c>
      <c r="D585" s="408" t="str">
        <f t="shared" si="7"/>
        <v/>
      </c>
      <c r="E585" s="176" t="str">
        <f t="shared" si="8"/>
        <v/>
      </c>
      <c r="F585" s="408" t="str">
        <f t="shared" si="11"/>
        <v/>
      </c>
      <c r="G585" s="408" t="str">
        <f t="shared" si="12"/>
        <v/>
      </c>
      <c r="H585" s="410">
        <f>IF(K585&gt;='Pro Forma Detail'!D$66,'Pro Forma Detail'!D$67,'Debt ReFi'!$B$5)</f>
        <v>0.0275</v>
      </c>
      <c r="I585" s="1" t="str">
        <f t="shared" si="1"/>
        <v/>
      </c>
      <c r="J585" s="406">
        <f t="shared" si="13"/>
        <v>63098</v>
      </c>
      <c r="K585" s="105">
        <f t="shared" si="9"/>
        <v>52</v>
      </c>
      <c r="L585" s="411" t="str">
        <f t="shared" si="10"/>
        <v/>
      </c>
      <c r="M585" s="407" t="str">
        <f t="shared" si="2"/>
        <v/>
      </c>
      <c r="N585" s="407">
        <f t="shared" si="3"/>
        <v>0</v>
      </c>
      <c r="O585" s="407" t="str">
        <f t="shared" si="4"/>
        <v/>
      </c>
      <c r="P585" s="1"/>
    </row>
    <row r="586" ht="12.75" customHeight="1">
      <c r="A586" s="1">
        <v>575.0</v>
      </c>
      <c r="B586" s="408" t="str">
        <f t="shared" si="5"/>
        <v/>
      </c>
      <c r="C586" s="408">
        <f t="shared" si="6"/>
        <v>0</v>
      </c>
      <c r="D586" s="408" t="str">
        <f t="shared" si="7"/>
        <v/>
      </c>
      <c r="E586" s="176" t="str">
        <f t="shared" si="8"/>
        <v/>
      </c>
      <c r="F586" s="408" t="str">
        <f t="shared" si="11"/>
        <v/>
      </c>
      <c r="G586" s="408" t="str">
        <f t="shared" si="12"/>
        <v/>
      </c>
      <c r="H586" s="410">
        <f>IF(K586&gt;='Pro Forma Detail'!D$66,'Pro Forma Detail'!D$67,'Debt ReFi'!$B$5)</f>
        <v>0.0275</v>
      </c>
      <c r="I586" s="1" t="str">
        <f t="shared" si="1"/>
        <v/>
      </c>
      <c r="J586" s="406">
        <f t="shared" si="13"/>
        <v>63129</v>
      </c>
      <c r="K586" s="105">
        <f t="shared" si="9"/>
        <v>52</v>
      </c>
      <c r="L586" s="411" t="str">
        <f t="shared" si="10"/>
        <v/>
      </c>
      <c r="M586" s="407" t="str">
        <f t="shared" si="2"/>
        <v/>
      </c>
      <c r="N586" s="407">
        <f t="shared" si="3"/>
        <v>0</v>
      </c>
      <c r="O586" s="407" t="str">
        <f t="shared" si="4"/>
        <v/>
      </c>
      <c r="P586" s="1"/>
    </row>
    <row r="587" ht="12.75" customHeight="1">
      <c r="A587" s="1">
        <v>576.0</v>
      </c>
      <c r="B587" s="408" t="str">
        <f t="shared" si="5"/>
        <v/>
      </c>
      <c r="C587" s="408">
        <f t="shared" si="6"/>
        <v>0</v>
      </c>
      <c r="D587" s="408" t="str">
        <f t="shared" si="7"/>
        <v/>
      </c>
      <c r="E587" s="176" t="str">
        <f t="shared" si="8"/>
        <v/>
      </c>
      <c r="F587" s="408" t="str">
        <f t="shared" si="11"/>
        <v/>
      </c>
      <c r="G587" s="408" t="str">
        <f t="shared" si="12"/>
        <v/>
      </c>
      <c r="H587" s="410">
        <f>IF(K587&gt;='Pro Forma Detail'!D$66,'Pro Forma Detail'!D$67,'Debt ReFi'!$B$5)</f>
        <v>0.0275</v>
      </c>
      <c r="I587" s="1" t="str">
        <f t="shared" si="1"/>
        <v/>
      </c>
      <c r="J587" s="406">
        <f t="shared" si="13"/>
        <v>63159</v>
      </c>
      <c r="K587" s="105">
        <f t="shared" si="9"/>
        <v>52</v>
      </c>
      <c r="L587" s="411" t="str">
        <f t="shared" si="10"/>
        <v/>
      </c>
      <c r="M587" s="407" t="str">
        <f t="shared" si="2"/>
        <v/>
      </c>
      <c r="N587" s="407">
        <f t="shared" si="3"/>
        <v>0</v>
      </c>
      <c r="O587" s="407" t="str">
        <f t="shared" si="4"/>
        <v/>
      </c>
      <c r="P587" s="1"/>
    </row>
    <row r="588" ht="12.75" customHeight="1">
      <c r="A588" s="1">
        <v>577.0</v>
      </c>
      <c r="B588" s="408" t="str">
        <f t="shared" si="5"/>
        <v/>
      </c>
      <c r="C588" s="408">
        <f t="shared" si="6"/>
        <v>0</v>
      </c>
      <c r="D588" s="408" t="str">
        <f t="shared" si="7"/>
        <v/>
      </c>
      <c r="E588" s="176" t="str">
        <f t="shared" si="8"/>
        <v/>
      </c>
      <c r="F588" s="408" t="str">
        <f t="shared" si="11"/>
        <v/>
      </c>
      <c r="G588" s="408" t="str">
        <f t="shared" si="12"/>
        <v/>
      </c>
      <c r="H588" s="410">
        <f>IF(K588&gt;='Pro Forma Detail'!D$66,'Pro Forma Detail'!D$67,'Debt ReFi'!$B$5)</f>
        <v>0.0275</v>
      </c>
      <c r="I588" s="1" t="str">
        <f t="shared" si="1"/>
        <v/>
      </c>
      <c r="J588" s="406">
        <f t="shared" si="13"/>
        <v>63190</v>
      </c>
      <c r="K588" s="105">
        <f t="shared" si="9"/>
        <v>53</v>
      </c>
      <c r="L588" s="411" t="str">
        <f t="shared" si="10"/>
        <v/>
      </c>
      <c r="M588" s="407" t="str">
        <f t="shared" si="2"/>
        <v/>
      </c>
      <c r="N588" s="407">
        <f t="shared" si="3"/>
        <v>0</v>
      </c>
      <c r="O588" s="407" t="str">
        <f t="shared" si="4"/>
        <v/>
      </c>
      <c r="P588" s="1"/>
    </row>
    <row r="589" ht="12.75" customHeight="1">
      <c r="A589" s="1">
        <v>578.0</v>
      </c>
      <c r="B589" s="408" t="str">
        <f t="shared" si="5"/>
        <v/>
      </c>
      <c r="C589" s="408">
        <f t="shared" si="6"/>
        <v>0</v>
      </c>
      <c r="D589" s="408" t="str">
        <f t="shared" si="7"/>
        <v/>
      </c>
      <c r="E589" s="176" t="str">
        <f t="shared" si="8"/>
        <v/>
      </c>
      <c r="F589" s="408" t="str">
        <f t="shared" si="11"/>
        <v/>
      </c>
      <c r="G589" s="408" t="str">
        <f t="shared" si="12"/>
        <v/>
      </c>
      <c r="H589" s="410">
        <f>IF(K589&gt;='Pro Forma Detail'!D$66,'Pro Forma Detail'!D$67,'Debt ReFi'!$B$5)</f>
        <v>0.0275</v>
      </c>
      <c r="I589" s="1" t="str">
        <f t="shared" si="1"/>
        <v/>
      </c>
      <c r="J589" s="406">
        <f t="shared" si="13"/>
        <v>63221</v>
      </c>
      <c r="K589" s="105">
        <f t="shared" si="9"/>
        <v>53</v>
      </c>
      <c r="L589" s="411" t="str">
        <f t="shared" si="10"/>
        <v/>
      </c>
      <c r="M589" s="407" t="str">
        <f t="shared" si="2"/>
        <v/>
      </c>
      <c r="N589" s="407">
        <f t="shared" si="3"/>
        <v>0</v>
      </c>
      <c r="O589" s="407" t="str">
        <f t="shared" si="4"/>
        <v/>
      </c>
      <c r="P589" s="1"/>
    </row>
    <row r="590" ht="12.75" customHeight="1">
      <c r="A590" s="1">
        <v>579.0</v>
      </c>
      <c r="B590" s="408" t="str">
        <f t="shared" si="5"/>
        <v/>
      </c>
      <c r="C590" s="408">
        <f t="shared" si="6"/>
        <v>0</v>
      </c>
      <c r="D590" s="408" t="str">
        <f t="shared" si="7"/>
        <v/>
      </c>
      <c r="E590" s="176" t="str">
        <f t="shared" si="8"/>
        <v/>
      </c>
      <c r="F590" s="408" t="str">
        <f t="shared" si="11"/>
        <v/>
      </c>
      <c r="G590" s="408" t="str">
        <f t="shared" si="12"/>
        <v/>
      </c>
      <c r="H590" s="410">
        <f>IF(K590&gt;='Pro Forma Detail'!D$66,'Pro Forma Detail'!D$67,'Debt ReFi'!$B$5)</f>
        <v>0.0275</v>
      </c>
      <c r="I590" s="1" t="str">
        <f t="shared" si="1"/>
        <v/>
      </c>
      <c r="J590" s="406">
        <f t="shared" si="13"/>
        <v>63249</v>
      </c>
      <c r="K590" s="105">
        <f t="shared" si="9"/>
        <v>53</v>
      </c>
      <c r="L590" s="411" t="str">
        <f t="shared" si="10"/>
        <v/>
      </c>
      <c r="M590" s="407" t="str">
        <f t="shared" si="2"/>
        <v/>
      </c>
      <c r="N590" s="407">
        <f t="shared" si="3"/>
        <v>0</v>
      </c>
      <c r="O590" s="407" t="str">
        <f t="shared" si="4"/>
        <v/>
      </c>
      <c r="P590" s="1"/>
    </row>
    <row r="591" ht="12.75" customHeight="1">
      <c r="A591" s="1">
        <v>580.0</v>
      </c>
      <c r="B591" s="408" t="str">
        <f t="shared" si="5"/>
        <v/>
      </c>
      <c r="C591" s="408">
        <f t="shared" si="6"/>
        <v>0</v>
      </c>
      <c r="D591" s="408" t="str">
        <f t="shared" si="7"/>
        <v/>
      </c>
      <c r="E591" s="176" t="str">
        <f t="shared" si="8"/>
        <v/>
      </c>
      <c r="F591" s="408" t="str">
        <f t="shared" si="11"/>
        <v/>
      </c>
      <c r="G591" s="408" t="str">
        <f t="shared" si="12"/>
        <v/>
      </c>
      <c r="H591" s="410">
        <f>IF(K591&gt;='Pro Forma Detail'!D$66,'Pro Forma Detail'!D$67,'Debt ReFi'!$B$5)</f>
        <v>0.0275</v>
      </c>
      <c r="I591" s="1" t="str">
        <f t="shared" si="1"/>
        <v/>
      </c>
      <c r="J591" s="406">
        <f t="shared" si="13"/>
        <v>63280</v>
      </c>
      <c r="K591" s="105">
        <f t="shared" si="9"/>
        <v>53</v>
      </c>
      <c r="L591" s="411" t="str">
        <f t="shared" si="10"/>
        <v/>
      </c>
      <c r="M591" s="407" t="str">
        <f t="shared" si="2"/>
        <v/>
      </c>
      <c r="N591" s="407">
        <f t="shared" si="3"/>
        <v>0</v>
      </c>
      <c r="O591" s="407" t="str">
        <f t="shared" si="4"/>
        <v/>
      </c>
      <c r="P591" s="1"/>
    </row>
    <row r="592" ht="12.75" customHeight="1">
      <c r="A592" s="1">
        <v>581.0</v>
      </c>
      <c r="B592" s="408" t="str">
        <f t="shared" si="5"/>
        <v/>
      </c>
      <c r="C592" s="408">
        <f t="shared" si="6"/>
        <v>0</v>
      </c>
      <c r="D592" s="408" t="str">
        <f t="shared" si="7"/>
        <v/>
      </c>
      <c r="E592" s="176" t="str">
        <f t="shared" si="8"/>
        <v/>
      </c>
      <c r="F592" s="408" t="str">
        <f t="shared" si="11"/>
        <v/>
      </c>
      <c r="G592" s="408" t="str">
        <f t="shared" si="12"/>
        <v/>
      </c>
      <c r="H592" s="410">
        <f>IF(K592&gt;='Pro Forma Detail'!D$66,'Pro Forma Detail'!D$67,'Debt ReFi'!$B$5)</f>
        <v>0.0275</v>
      </c>
      <c r="I592" s="1" t="str">
        <f t="shared" si="1"/>
        <v/>
      </c>
      <c r="J592" s="406">
        <f t="shared" si="13"/>
        <v>63310</v>
      </c>
      <c r="K592" s="105">
        <f t="shared" si="9"/>
        <v>53</v>
      </c>
      <c r="L592" s="411" t="str">
        <f t="shared" si="10"/>
        <v/>
      </c>
      <c r="M592" s="407" t="str">
        <f t="shared" si="2"/>
        <v/>
      </c>
      <c r="N592" s="407">
        <f t="shared" si="3"/>
        <v>0</v>
      </c>
      <c r="O592" s="407" t="str">
        <f t="shared" si="4"/>
        <v/>
      </c>
      <c r="P592" s="1"/>
    </row>
    <row r="593" ht="12.75" customHeight="1">
      <c r="A593" s="1">
        <v>582.0</v>
      </c>
      <c r="B593" s="408" t="str">
        <f t="shared" si="5"/>
        <v/>
      </c>
      <c r="C593" s="408">
        <f t="shared" si="6"/>
        <v>0</v>
      </c>
      <c r="D593" s="408" t="str">
        <f t="shared" si="7"/>
        <v/>
      </c>
      <c r="E593" s="176" t="str">
        <f t="shared" si="8"/>
        <v/>
      </c>
      <c r="F593" s="408" t="str">
        <f t="shared" si="11"/>
        <v/>
      </c>
      <c r="G593" s="408" t="str">
        <f t="shared" si="12"/>
        <v/>
      </c>
      <c r="H593" s="410">
        <f>IF(K593&gt;='Pro Forma Detail'!D$66,'Pro Forma Detail'!D$67,'Debt ReFi'!$B$5)</f>
        <v>0.0275</v>
      </c>
      <c r="I593" s="1" t="str">
        <f t="shared" si="1"/>
        <v/>
      </c>
      <c r="J593" s="406">
        <f t="shared" si="13"/>
        <v>63341</v>
      </c>
      <c r="K593" s="105">
        <f t="shared" si="9"/>
        <v>53</v>
      </c>
      <c r="L593" s="411" t="str">
        <f t="shared" si="10"/>
        <v/>
      </c>
      <c r="M593" s="407" t="str">
        <f t="shared" si="2"/>
        <v/>
      </c>
      <c r="N593" s="407">
        <f t="shared" si="3"/>
        <v>0</v>
      </c>
      <c r="O593" s="407" t="str">
        <f t="shared" si="4"/>
        <v/>
      </c>
      <c r="P593" s="1"/>
    </row>
    <row r="594" ht="12.75" customHeight="1">
      <c r="A594" s="1">
        <v>583.0</v>
      </c>
      <c r="B594" s="408" t="str">
        <f t="shared" si="5"/>
        <v/>
      </c>
      <c r="C594" s="408">
        <f t="shared" si="6"/>
        <v>0</v>
      </c>
      <c r="D594" s="408" t="str">
        <f t="shared" si="7"/>
        <v/>
      </c>
      <c r="E594" s="176" t="str">
        <f t="shared" si="8"/>
        <v/>
      </c>
      <c r="F594" s="408" t="str">
        <f t="shared" si="11"/>
        <v/>
      </c>
      <c r="G594" s="408" t="str">
        <f t="shared" si="12"/>
        <v/>
      </c>
      <c r="H594" s="410">
        <f>IF(K594&gt;='Pro Forma Detail'!D$66,'Pro Forma Detail'!D$67,'Debt ReFi'!$B$5)</f>
        <v>0.0275</v>
      </c>
      <c r="I594" s="1" t="str">
        <f t="shared" si="1"/>
        <v/>
      </c>
      <c r="J594" s="406">
        <f t="shared" si="13"/>
        <v>63371</v>
      </c>
      <c r="K594" s="105">
        <f t="shared" si="9"/>
        <v>53</v>
      </c>
      <c r="L594" s="411" t="str">
        <f t="shared" si="10"/>
        <v/>
      </c>
      <c r="M594" s="407" t="str">
        <f t="shared" si="2"/>
        <v/>
      </c>
      <c r="N594" s="407">
        <f t="shared" si="3"/>
        <v>0</v>
      </c>
      <c r="O594" s="407" t="str">
        <f t="shared" si="4"/>
        <v/>
      </c>
      <c r="P594" s="1"/>
    </row>
    <row r="595" ht="12.75" customHeight="1">
      <c r="A595" s="1">
        <v>584.0</v>
      </c>
      <c r="B595" s="408" t="str">
        <f t="shared" si="5"/>
        <v/>
      </c>
      <c r="C595" s="408">
        <f t="shared" si="6"/>
        <v>0</v>
      </c>
      <c r="D595" s="408" t="str">
        <f t="shared" si="7"/>
        <v/>
      </c>
      <c r="E595" s="176" t="str">
        <f t="shared" si="8"/>
        <v/>
      </c>
      <c r="F595" s="408" t="str">
        <f t="shared" si="11"/>
        <v/>
      </c>
      <c r="G595" s="408" t="str">
        <f t="shared" si="12"/>
        <v/>
      </c>
      <c r="H595" s="410">
        <f>IF(K595&gt;='Pro Forma Detail'!D$66,'Pro Forma Detail'!D$67,'Debt ReFi'!$B$5)</f>
        <v>0.0275</v>
      </c>
      <c r="I595" s="1" t="str">
        <f t="shared" si="1"/>
        <v/>
      </c>
      <c r="J595" s="406">
        <f t="shared" si="13"/>
        <v>63402</v>
      </c>
      <c r="K595" s="105">
        <f t="shared" si="9"/>
        <v>53</v>
      </c>
      <c r="L595" s="411" t="str">
        <f t="shared" si="10"/>
        <v/>
      </c>
      <c r="M595" s="407" t="str">
        <f t="shared" si="2"/>
        <v/>
      </c>
      <c r="N595" s="407">
        <f t="shared" si="3"/>
        <v>0</v>
      </c>
      <c r="O595" s="407" t="str">
        <f t="shared" si="4"/>
        <v/>
      </c>
      <c r="P595" s="1"/>
    </row>
    <row r="596" ht="12.75" customHeight="1">
      <c r="A596" s="1">
        <v>585.0</v>
      </c>
      <c r="B596" s="408" t="str">
        <f t="shared" si="5"/>
        <v/>
      </c>
      <c r="C596" s="408">
        <f t="shared" si="6"/>
        <v>0</v>
      </c>
      <c r="D596" s="408" t="str">
        <f t="shared" si="7"/>
        <v/>
      </c>
      <c r="E596" s="176" t="str">
        <f t="shared" si="8"/>
        <v/>
      </c>
      <c r="F596" s="408" t="str">
        <f t="shared" si="11"/>
        <v/>
      </c>
      <c r="G596" s="408" t="str">
        <f t="shared" si="12"/>
        <v/>
      </c>
      <c r="H596" s="410">
        <f>IF(K596&gt;='Pro Forma Detail'!D$66,'Pro Forma Detail'!D$67,'Debt ReFi'!$B$5)</f>
        <v>0.0275</v>
      </c>
      <c r="I596" s="1" t="str">
        <f t="shared" si="1"/>
        <v/>
      </c>
      <c r="J596" s="406">
        <f t="shared" si="13"/>
        <v>63433</v>
      </c>
      <c r="K596" s="105">
        <f t="shared" si="9"/>
        <v>53</v>
      </c>
      <c r="L596" s="411" t="str">
        <f t="shared" si="10"/>
        <v/>
      </c>
      <c r="M596" s="407" t="str">
        <f t="shared" si="2"/>
        <v/>
      </c>
      <c r="N596" s="407">
        <f t="shared" si="3"/>
        <v>0</v>
      </c>
      <c r="O596" s="407" t="str">
        <f t="shared" si="4"/>
        <v/>
      </c>
      <c r="P596" s="1"/>
    </row>
    <row r="597" ht="12.75" customHeight="1">
      <c r="A597" s="1">
        <v>586.0</v>
      </c>
      <c r="B597" s="408" t="str">
        <f t="shared" si="5"/>
        <v/>
      </c>
      <c r="C597" s="408">
        <f t="shared" si="6"/>
        <v>0</v>
      </c>
      <c r="D597" s="408" t="str">
        <f t="shared" si="7"/>
        <v/>
      </c>
      <c r="E597" s="176" t="str">
        <f t="shared" si="8"/>
        <v/>
      </c>
      <c r="F597" s="408" t="str">
        <f t="shared" si="11"/>
        <v/>
      </c>
      <c r="G597" s="408" t="str">
        <f t="shared" si="12"/>
        <v/>
      </c>
      <c r="H597" s="410">
        <f>IF(K597&gt;='Pro Forma Detail'!D$66,'Pro Forma Detail'!D$67,'Debt ReFi'!$B$5)</f>
        <v>0.0275</v>
      </c>
      <c r="I597" s="1" t="str">
        <f t="shared" si="1"/>
        <v/>
      </c>
      <c r="J597" s="406">
        <f t="shared" si="13"/>
        <v>63463</v>
      </c>
      <c r="K597" s="105">
        <f t="shared" si="9"/>
        <v>53</v>
      </c>
      <c r="L597" s="411" t="str">
        <f t="shared" si="10"/>
        <v/>
      </c>
      <c r="M597" s="407" t="str">
        <f t="shared" si="2"/>
        <v/>
      </c>
      <c r="N597" s="407">
        <f t="shared" si="3"/>
        <v>0</v>
      </c>
      <c r="O597" s="407" t="str">
        <f t="shared" si="4"/>
        <v/>
      </c>
      <c r="P597" s="1"/>
    </row>
    <row r="598" ht="12.75" customHeight="1">
      <c r="A598" s="1">
        <v>587.0</v>
      </c>
      <c r="B598" s="408" t="str">
        <f t="shared" si="5"/>
        <v/>
      </c>
      <c r="C598" s="408">
        <f t="shared" si="6"/>
        <v>0</v>
      </c>
      <c r="D598" s="408" t="str">
        <f t="shared" si="7"/>
        <v/>
      </c>
      <c r="E598" s="176" t="str">
        <f t="shared" si="8"/>
        <v/>
      </c>
      <c r="F598" s="408" t="str">
        <f t="shared" si="11"/>
        <v/>
      </c>
      <c r="G598" s="408" t="str">
        <f t="shared" si="12"/>
        <v/>
      </c>
      <c r="H598" s="410">
        <f>IF(K598&gt;='Pro Forma Detail'!D$66,'Pro Forma Detail'!D$67,'Debt ReFi'!$B$5)</f>
        <v>0.0275</v>
      </c>
      <c r="I598" s="1" t="str">
        <f t="shared" si="1"/>
        <v/>
      </c>
      <c r="J598" s="406">
        <f t="shared" si="13"/>
        <v>63494</v>
      </c>
      <c r="K598" s="105">
        <f t="shared" si="9"/>
        <v>53</v>
      </c>
      <c r="L598" s="411" t="str">
        <f t="shared" si="10"/>
        <v/>
      </c>
      <c r="M598" s="407" t="str">
        <f t="shared" si="2"/>
        <v/>
      </c>
      <c r="N598" s="407">
        <f t="shared" si="3"/>
        <v>0</v>
      </c>
      <c r="O598" s="407" t="str">
        <f t="shared" si="4"/>
        <v/>
      </c>
      <c r="P598" s="1"/>
    </row>
    <row r="599" ht="12.75" customHeight="1">
      <c r="A599" s="1">
        <v>588.0</v>
      </c>
      <c r="B599" s="408" t="str">
        <f t="shared" si="5"/>
        <v/>
      </c>
      <c r="C599" s="408">
        <f t="shared" si="6"/>
        <v>0</v>
      </c>
      <c r="D599" s="408" t="str">
        <f t="shared" si="7"/>
        <v/>
      </c>
      <c r="E599" s="176" t="str">
        <f t="shared" si="8"/>
        <v/>
      </c>
      <c r="F599" s="408" t="str">
        <f t="shared" si="11"/>
        <v/>
      </c>
      <c r="G599" s="408" t="str">
        <f t="shared" si="12"/>
        <v/>
      </c>
      <c r="H599" s="410">
        <f>IF(K599&gt;='Pro Forma Detail'!D$66,'Pro Forma Detail'!D$67,'Debt ReFi'!$B$5)</f>
        <v>0.0275</v>
      </c>
      <c r="I599" s="1" t="str">
        <f t="shared" si="1"/>
        <v/>
      </c>
      <c r="J599" s="406">
        <f t="shared" si="13"/>
        <v>63524</v>
      </c>
      <c r="K599" s="105">
        <f t="shared" si="9"/>
        <v>53</v>
      </c>
      <c r="L599" s="411" t="str">
        <f t="shared" si="10"/>
        <v/>
      </c>
      <c r="M599" s="407" t="str">
        <f t="shared" si="2"/>
        <v/>
      </c>
      <c r="N599" s="407">
        <f t="shared" si="3"/>
        <v>0</v>
      </c>
      <c r="O599" s="407" t="str">
        <f t="shared" si="4"/>
        <v/>
      </c>
      <c r="P599" s="1"/>
    </row>
    <row r="600" ht="12.75" customHeight="1">
      <c r="A600" s="1">
        <v>589.0</v>
      </c>
      <c r="B600" s="408" t="str">
        <f t="shared" si="5"/>
        <v/>
      </c>
      <c r="C600" s="408">
        <f t="shared" si="6"/>
        <v>0</v>
      </c>
      <c r="D600" s="408" t="str">
        <f t="shared" si="7"/>
        <v/>
      </c>
      <c r="E600" s="176" t="str">
        <f t="shared" si="8"/>
        <v/>
      </c>
      <c r="F600" s="408" t="str">
        <f t="shared" si="11"/>
        <v/>
      </c>
      <c r="G600" s="408" t="str">
        <f t="shared" si="12"/>
        <v/>
      </c>
      <c r="H600" s="410">
        <f>IF(K600&gt;='Pro Forma Detail'!D$66,'Pro Forma Detail'!D$67,'Debt ReFi'!$B$5)</f>
        <v>0.0275</v>
      </c>
      <c r="I600" s="1" t="str">
        <f t="shared" si="1"/>
        <v/>
      </c>
      <c r="J600" s="406">
        <f t="shared" si="13"/>
        <v>63555</v>
      </c>
      <c r="K600" s="105">
        <f t="shared" si="9"/>
        <v>54</v>
      </c>
      <c r="L600" s="411" t="str">
        <f t="shared" si="10"/>
        <v/>
      </c>
      <c r="M600" s="407" t="str">
        <f t="shared" si="2"/>
        <v/>
      </c>
      <c r="N600" s="407">
        <f t="shared" si="3"/>
        <v>0</v>
      </c>
      <c r="O600" s="407" t="str">
        <f t="shared" si="4"/>
        <v/>
      </c>
      <c r="P600" s="1"/>
    </row>
    <row r="601" ht="12.75" customHeight="1">
      <c r="A601" s="1">
        <v>590.0</v>
      </c>
      <c r="B601" s="408" t="str">
        <f t="shared" si="5"/>
        <v/>
      </c>
      <c r="C601" s="408">
        <f t="shared" si="6"/>
        <v>0</v>
      </c>
      <c r="D601" s="408" t="str">
        <f t="shared" si="7"/>
        <v/>
      </c>
      <c r="E601" s="176" t="str">
        <f t="shared" si="8"/>
        <v/>
      </c>
      <c r="F601" s="408" t="str">
        <f t="shared" si="11"/>
        <v/>
      </c>
      <c r="G601" s="408" t="str">
        <f t="shared" si="12"/>
        <v/>
      </c>
      <c r="H601" s="410">
        <f>IF(K601&gt;='Pro Forma Detail'!D$66,'Pro Forma Detail'!D$67,'Debt ReFi'!$B$5)</f>
        <v>0.0275</v>
      </c>
      <c r="I601" s="1" t="str">
        <f t="shared" si="1"/>
        <v/>
      </c>
      <c r="J601" s="406">
        <f t="shared" si="13"/>
        <v>63586</v>
      </c>
      <c r="K601" s="105">
        <f t="shared" si="9"/>
        <v>54</v>
      </c>
      <c r="L601" s="411" t="str">
        <f t="shared" si="10"/>
        <v/>
      </c>
      <c r="M601" s="407" t="str">
        <f t="shared" si="2"/>
        <v/>
      </c>
      <c r="N601" s="407">
        <f t="shared" si="3"/>
        <v>0</v>
      </c>
      <c r="O601" s="407" t="str">
        <f t="shared" si="4"/>
        <v/>
      </c>
      <c r="P601" s="1"/>
    </row>
    <row r="602" ht="12.75" customHeight="1">
      <c r="A602" s="1">
        <v>591.0</v>
      </c>
      <c r="B602" s="408" t="str">
        <f t="shared" si="5"/>
        <v/>
      </c>
      <c r="C602" s="408">
        <f t="shared" si="6"/>
        <v>0</v>
      </c>
      <c r="D602" s="408" t="str">
        <f t="shared" si="7"/>
        <v/>
      </c>
      <c r="E602" s="176" t="str">
        <f t="shared" si="8"/>
        <v/>
      </c>
      <c r="F602" s="408" t="str">
        <f t="shared" si="11"/>
        <v/>
      </c>
      <c r="G602" s="408" t="str">
        <f t="shared" si="12"/>
        <v/>
      </c>
      <c r="H602" s="410">
        <f>IF(K602&gt;='Pro Forma Detail'!D$66,'Pro Forma Detail'!D$67,'Debt ReFi'!$B$5)</f>
        <v>0.0275</v>
      </c>
      <c r="I602" s="1" t="str">
        <f t="shared" si="1"/>
        <v/>
      </c>
      <c r="J602" s="406">
        <f t="shared" si="13"/>
        <v>63614</v>
      </c>
      <c r="K602" s="105">
        <f t="shared" si="9"/>
        <v>54</v>
      </c>
      <c r="L602" s="411" t="str">
        <f t="shared" si="10"/>
        <v/>
      </c>
      <c r="M602" s="407" t="str">
        <f t="shared" si="2"/>
        <v/>
      </c>
      <c r="N602" s="407">
        <f t="shared" si="3"/>
        <v>0</v>
      </c>
      <c r="O602" s="407" t="str">
        <f t="shared" si="4"/>
        <v/>
      </c>
      <c r="P602" s="1"/>
    </row>
    <row r="603" ht="12.75" customHeight="1">
      <c r="A603" s="1">
        <v>592.0</v>
      </c>
      <c r="B603" s="408" t="str">
        <f t="shared" si="5"/>
        <v/>
      </c>
      <c r="C603" s="408">
        <f t="shared" si="6"/>
        <v>0</v>
      </c>
      <c r="D603" s="408" t="str">
        <f t="shared" si="7"/>
        <v/>
      </c>
      <c r="E603" s="176" t="str">
        <f t="shared" si="8"/>
        <v/>
      </c>
      <c r="F603" s="408" t="str">
        <f t="shared" si="11"/>
        <v/>
      </c>
      <c r="G603" s="408" t="str">
        <f t="shared" si="12"/>
        <v/>
      </c>
      <c r="H603" s="410">
        <f>IF(K603&gt;='Pro Forma Detail'!D$66,'Pro Forma Detail'!D$67,'Debt ReFi'!$B$5)</f>
        <v>0.0275</v>
      </c>
      <c r="I603" s="1" t="str">
        <f t="shared" si="1"/>
        <v/>
      </c>
      <c r="J603" s="406">
        <f t="shared" si="13"/>
        <v>63645</v>
      </c>
      <c r="K603" s="105">
        <f t="shared" si="9"/>
        <v>54</v>
      </c>
      <c r="L603" s="411" t="str">
        <f t="shared" si="10"/>
        <v/>
      </c>
      <c r="M603" s="407" t="str">
        <f t="shared" si="2"/>
        <v/>
      </c>
      <c r="N603" s="407">
        <f t="shared" si="3"/>
        <v>0</v>
      </c>
      <c r="O603" s="407" t="str">
        <f t="shared" si="4"/>
        <v/>
      </c>
      <c r="P603" s="1"/>
    </row>
    <row r="604" ht="12.75" customHeight="1">
      <c r="A604" s="1">
        <v>593.0</v>
      </c>
      <c r="B604" s="408" t="str">
        <f t="shared" si="5"/>
        <v/>
      </c>
      <c r="C604" s="408">
        <f t="shared" si="6"/>
        <v>0</v>
      </c>
      <c r="D604" s="408" t="str">
        <f t="shared" si="7"/>
        <v/>
      </c>
      <c r="E604" s="176" t="str">
        <f t="shared" si="8"/>
        <v/>
      </c>
      <c r="F604" s="408" t="str">
        <f t="shared" si="11"/>
        <v/>
      </c>
      <c r="G604" s="408" t="str">
        <f t="shared" si="12"/>
        <v/>
      </c>
      <c r="H604" s="410">
        <f>IF(K604&gt;='Pro Forma Detail'!D$66,'Pro Forma Detail'!D$67,'Debt ReFi'!$B$5)</f>
        <v>0.0275</v>
      </c>
      <c r="I604" s="1" t="str">
        <f t="shared" si="1"/>
        <v/>
      </c>
      <c r="J604" s="406">
        <f t="shared" si="13"/>
        <v>63675</v>
      </c>
      <c r="K604" s="105">
        <f t="shared" si="9"/>
        <v>54</v>
      </c>
      <c r="L604" s="411" t="str">
        <f t="shared" si="10"/>
        <v/>
      </c>
      <c r="M604" s="407" t="str">
        <f t="shared" si="2"/>
        <v/>
      </c>
      <c r="N604" s="407">
        <f t="shared" si="3"/>
        <v>0</v>
      </c>
      <c r="O604" s="407" t="str">
        <f t="shared" si="4"/>
        <v/>
      </c>
      <c r="P604" s="1"/>
    </row>
    <row r="605" ht="12.75" customHeight="1">
      <c r="A605" s="1">
        <v>594.0</v>
      </c>
      <c r="B605" s="408" t="str">
        <f t="shared" si="5"/>
        <v/>
      </c>
      <c r="C605" s="408">
        <f t="shared" si="6"/>
        <v>0</v>
      </c>
      <c r="D605" s="408" t="str">
        <f t="shared" si="7"/>
        <v/>
      </c>
      <c r="E605" s="176" t="str">
        <f t="shared" si="8"/>
        <v/>
      </c>
      <c r="F605" s="408" t="str">
        <f t="shared" si="11"/>
        <v/>
      </c>
      <c r="G605" s="408" t="str">
        <f t="shared" si="12"/>
        <v/>
      </c>
      <c r="H605" s="410">
        <f>IF(K605&gt;='Pro Forma Detail'!D$66,'Pro Forma Detail'!D$67,'Debt ReFi'!$B$5)</f>
        <v>0.0275</v>
      </c>
      <c r="I605" s="1" t="str">
        <f t="shared" si="1"/>
        <v/>
      </c>
      <c r="J605" s="406">
        <f t="shared" si="13"/>
        <v>63706</v>
      </c>
      <c r="K605" s="105">
        <f t="shared" si="9"/>
        <v>54</v>
      </c>
      <c r="L605" s="411" t="str">
        <f t="shared" si="10"/>
        <v/>
      </c>
      <c r="M605" s="407" t="str">
        <f t="shared" si="2"/>
        <v/>
      </c>
      <c r="N605" s="407">
        <f t="shared" si="3"/>
        <v>0</v>
      </c>
      <c r="O605" s="407" t="str">
        <f t="shared" si="4"/>
        <v/>
      </c>
      <c r="P605" s="1"/>
    </row>
    <row r="606" ht="12.75" customHeight="1">
      <c r="A606" s="1">
        <v>595.0</v>
      </c>
      <c r="B606" s="408" t="str">
        <f t="shared" si="5"/>
        <v/>
      </c>
      <c r="C606" s="408">
        <f t="shared" si="6"/>
        <v>0</v>
      </c>
      <c r="D606" s="408" t="str">
        <f t="shared" si="7"/>
        <v/>
      </c>
      <c r="E606" s="176" t="str">
        <f t="shared" si="8"/>
        <v/>
      </c>
      <c r="F606" s="408" t="str">
        <f t="shared" si="11"/>
        <v/>
      </c>
      <c r="G606" s="408" t="str">
        <f t="shared" si="12"/>
        <v/>
      </c>
      <c r="H606" s="410">
        <f>IF(K606&gt;='Pro Forma Detail'!D$66,'Pro Forma Detail'!D$67,'Debt ReFi'!$B$5)</f>
        <v>0.0275</v>
      </c>
      <c r="I606" s="1" t="str">
        <f t="shared" si="1"/>
        <v/>
      </c>
      <c r="J606" s="406">
        <f t="shared" si="13"/>
        <v>63736</v>
      </c>
      <c r="K606" s="105">
        <f t="shared" si="9"/>
        <v>54</v>
      </c>
      <c r="L606" s="411" t="str">
        <f t="shared" si="10"/>
        <v/>
      </c>
      <c r="M606" s="407" t="str">
        <f t="shared" si="2"/>
        <v/>
      </c>
      <c r="N606" s="407">
        <f t="shared" si="3"/>
        <v>0</v>
      </c>
      <c r="O606" s="407" t="str">
        <f t="shared" si="4"/>
        <v/>
      </c>
      <c r="P606" s="1"/>
    </row>
    <row r="607" ht="12.75" customHeight="1">
      <c r="A607" s="1">
        <v>596.0</v>
      </c>
      <c r="B607" s="408" t="str">
        <f t="shared" si="5"/>
        <v/>
      </c>
      <c r="C607" s="408">
        <f t="shared" si="6"/>
        <v>0</v>
      </c>
      <c r="D607" s="408" t="str">
        <f t="shared" si="7"/>
        <v/>
      </c>
      <c r="E607" s="176" t="str">
        <f t="shared" si="8"/>
        <v/>
      </c>
      <c r="F607" s="408" t="str">
        <f t="shared" si="11"/>
        <v/>
      </c>
      <c r="G607" s="408" t="str">
        <f t="shared" si="12"/>
        <v/>
      </c>
      <c r="H607" s="410">
        <f>IF(K607&gt;='Pro Forma Detail'!D$66,'Pro Forma Detail'!D$67,'Debt ReFi'!$B$5)</f>
        <v>0.0275</v>
      </c>
      <c r="I607" s="1" t="str">
        <f t="shared" si="1"/>
        <v/>
      </c>
      <c r="J607" s="406">
        <f t="shared" si="13"/>
        <v>63767</v>
      </c>
      <c r="K607" s="105">
        <f t="shared" si="9"/>
        <v>54</v>
      </c>
      <c r="L607" s="411" t="str">
        <f t="shared" si="10"/>
        <v/>
      </c>
      <c r="M607" s="407" t="str">
        <f t="shared" si="2"/>
        <v/>
      </c>
      <c r="N607" s="407">
        <f t="shared" si="3"/>
        <v>0</v>
      </c>
      <c r="O607" s="407" t="str">
        <f t="shared" si="4"/>
        <v/>
      </c>
      <c r="P607" s="1"/>
    </row>
    <row r="608" ht="12.75" customHeight="1">
      <c r="A608" s="1">
        <v>597.0</v>
      </c>
      <c r="B608" s="408" t="str">
        <f t="shared" si="5"/>
        <v/>
      </c>
      <c r="C608" s="408">
        <f t="shared" si="6"/>
        <v>0</v>
      </c>
      <c r="D608" s="408" t="str">
        <f t="shared" si="7"/>
        <v/>
      </c>
      <c r="E608" s="176" t="str">
        <f t="shared" si="8"/>
        <v/>
      </c>
      <c r="F608" s="408" t="str">
        <f t="shared" si="11"/>
        <v/>
      </c>
      <c r="G608" s="408" t="str">
        <f t="shared" si="12"/>
        <v/>
      </c>
      <c r="H608" s="410">
        <f>IF(K608&gt;='Pro Forma Detail'!D$66,'Pro Forma Detail'!D$67,'Debt ReFi'!$B$5)</f>
        <v>0.0275</v>
      </c>
      <c r="I608" s="1" t="str">
        <f t="shared" si="1"/>
        <v/>
      </c>
      <c r="J608" s="406">
        <f t="shared" si="13"/>
        <v>63798</v>
      </c>
      <c r="K608" s="105">
        <f t="shared" si="9"/>
        <v>54</v>
      </c>
      <c r="L608" s="411" t="str">
        <f t="shared" si="10"/>
        <v/>
      </c>
      <c r="M608" s="407" t="str">
        <f t="shared" si="2"/>
        <v/>
      </c>
      <c r="N608" s="407">
        <f t="shared" si="3"/>
        <v>0</v>
      </c>
      <c r="O608" s="407" t="str">
        <f t="shared" si="4"/>
        <v/>
      </c>
      <c r="P608" s="1"/>
    </row>
    <row r="609" ht="12.75" customHeight="1">
      <c r="A609" s="1">
        <v>598.0</v>
      </c>
      <c r="B609" s="408" t="str">
        <f t="shared" si="5"/>
        <v/>
      </c>
      <c r="C609" s="408">
        <f t="shared" si="6"/>
        <v>0</v>
      </c>
      <c r="D609" s="408" t="str">
        <f t="shared" si="7"/>
        <v/>
      </c>
      <c r="E609" s="176" t="str">
        <f t="shared" si="8"/>
        <v/>
      </c>
      <c r="F609" s="408" t="str">
        <f t="shared" si="11"/>
        <v/>
      </c>
      <c r="G609" s="408" t="str">
        <f t="shared" si="12"/>
        <v/>
      </c>
      <c r="H609" s="410">
        <f>IF(K609&gt;='Pro Forma Detail'!D$66,'Pro Forma Detail'!D$67,'Debt ReFi'!$B$5)</f>
        <v>0.0275</v>
      </c>
      <c r="I609" s="1" t="str">
        <f t="shared" si="1"/>
        <v/>
      </c>
      <c r="J609" s="406">
        <f t="shared" si="13"/>
        <v>63828</v>
      </c>
      <c r="K609" s="105">
        <f t="shared" si="9"/>
        <v>54</v>
      </c>
      <c r="L609" s="411" t="str">
        <f t="shared" si="10"/>
        <v/>
      </c>
      <c r="M609" s="407" t="str">
        <f t="shared" si="2"/>
        <v/>
      </c>
      <c r="N609" s="407">
        <f t="shared" si="3"/>
        <v>0</v>
      </c>
      <c r="O609" s="407" t="str">
        <f t="shared" si="4"/>
        <v/>
      </c>
      <c r="P609" s="1"/>
    </row>
    <row r="610" ht="12.75" customHeight="1">
      <c r="A610" s="1">
        <v>599.0</v>
      </c>
      <c r="B610" s="408" t="str">
        <f t="shared" si="5"/>
        <v/>
      </c>
      <c r="C610" s="408">
        <f t="shared" si="6"/>
        <v>0</v>
      </c>
      <c r="D610" s="408" t="str">
        <f t="shared" si="7"/>
        <v/>
      </c>
      <c r="E610" s="176" t="str">
        <f t="shared" si="8"/>
        <v/>
      </c>
      <c r="F610" s="408" t="str">
        <f t="shared" si="11"/>
        <v/>
      </c>
      <c r="G610" s="408" t="str">
        <f t="shared" si="12"/>
        <v/>
      </c>
      <c r="H610" s="410">
        <f>IF(K610&gt;='Pro Forma Detail'!D$66,'Pro Forma Detail'!D$67,'Debt ReFi'!$B$5)</f>
        <v>0.0275</v>
      </c>
      <c r="I610" s="1" t="str">
        <f t="shared" si="1"/>
        <v/>
      </c>
      <c r="J610" s="406">
        <f t="shared" si="13"/>
        <v>63859</v>
      </c>
      <c r="K610" s="105">
        <f t="shared" si="9"/>
        <v>54</v>
      </c>
      <c r="L610" s="411" t="str">
        <f t="shared" si="10"/>
        <v/>
      </c>
      <c r="M610" s="407" t="str">
        <f t="shared" si="2"/>
        <v/>
      </c>
      <c r="N610" s="407">
        <f t="shared" si="3"/>
        <v>0</v>
      </c>
      <c r="O610" s="407" t="str">
        <f t="shared" si="4"/>
        <v/>
      </c>
      <c r="P610" s="1"/>
    </row>
    <row r="611" ht="12.75" customHeight="1">
      <c r="A611" s="1">
        <v>600.0</v>
      </c>
      <c r="B611" s="408" t="str">
        <f t="shared" si="5"/>
        <v/>
      </c>
      <c r="C611" s="408">
        <f t="shared" si="6"/>
        <v>0</v>
      </c>
      <c r="D611" s="408" t="str">
        <f t="shared" si="7"/>
        <v/>
      </c>
      <c r="E611" s="176" t="str">
        <f t="shared" si="8"/>
        <v/>
      </c>
      <c r="F611" s="408" t="str">
        <f t="shared" si="11"/>
        <v/>
      </c>
      <c r="G611" s="408" t="str">
        <f t="shared" si="12"/>
        <v/>
      </c>
      <c r="H611" s="410">
        <f>IF(K611&gt;='Pro Forma Detail'!D$66,'Pro Forma Detail'!D$67,'Debt ReFi'!$B$5)</f>
        <v>0.0275</v>
      </c>
      <c r="I611" s="1" t="str">
        <f t="shared" si="1"/>
        <v/>
      </c>
      <c r="J611" s="406">
        <f t="shared" si="13"/>
        <v>63889</v>
      </c>
      <c r="K611" s="105">
        <f t="shared" si="9"/>
        <v>54</v>
      </c>
      <c r="L611" s="411" t="str">
        <f t="shared" si="10"/>
        <v/>
      </c>
      <c r="M611" s="407" t="str">
        <f t="shared" si="2"/>
        <v/>
      </c>
      <c r="N611" s="407">
        <f t="shared" si="3"/>
        <v>0</v>
      </c>
      <c r="O611" s="407" t="str">
        <f t="shared" si="4"/>
        <v/>
      </c>
      <c r="P611" s="1"/>
    </row>
    <row r="612" ht="12.75" customHeight="1">
      <c r="A612" s="1">
        <v>601.0</v>
      </c>
      <c r="B612" s="408" t="str">
        <f t="shared" si="5"/>
        <v/>
      </c>
      <c r="C612" s="408">
        <f t="shared" si="6"/>
        <v>0</v>
      </c>
      <c r="D612" s="408" t="str">
        <f t="shared" si="7"/>
        <v/>
      </c>
      <c r="E612" s="176" t="str">
        <f t="shared" si="8"/>
        <v/>
      </c>
      <c r="F612" s="408" t="str">
        <f t="shared" si="11"/>
        <v/>
      </c>
      <c r="G612" s="408" t="str">
        <f t="shared" si="12"/>
        <v/>
      </c>
      <c r="H612" s="410">
        <f>IF(K612&gt;='Pro Forma Detail'!D$66,'Pro Forma Detail'!D$67,'Debt ReFi'!$B$5)</f>
        <v>0.0275</v>
      </c>
      <c r="I612" s="1" t="str">
        <f t="shared" si="1"/>
        <v/>
      </c>
      <c r="J612" s="406">
        <f t="shared" si="13"/>
        <v>63920</v>
      </c>
      <c r="K612" s="105">
        <f t="shared" si="9"/>
        <v>55</v>
      </c>
      <c r="L612" s="411" t="str">
        <f t="shared" si="10"/>
        <v/>
      </c>
      <c r="M612" s="407" t="str">
        <f t="shared" si="2"/>
        <v/>
      </c>
      <c r="N612" s="407">
        <f t="shared" si="3"/>
        <v>0</v>
      </c>
      <c r="O612" s="407" t="str">
        <f t="shared" si="4"/>
        <v/>
      </c>
      <c r="P612" s="1"/>
    </row>
    <row r="613" ht="12.75" customHeight="1">
      <c r="A613" s="1">
        <v>602.0</v>
      </c>
      <c r="B613" s="408" t="str">
        <f t="shared" si="5"/>
        <v/>
      </c>
      <c r="C613" s="408">
        <f t="shared" si="6"/>
        <v>0</v>
      </c>
      <c r="D613" s="408" t="str">
        <f t="shared" si="7"/>
        <v/>
      </c>
      <c r="E613" s="176" t="str">
        <f t="shared" si="8"/>
        <v/>
      </c>
      <c r="F613" s="408" t="str">
        <f t="shared" si="11"/>
        <v/>
      </c>
      <c r="G613" s="408" t="str">
        <f t="shared" si="12"/>
        <v/>
      </c>
      <c r="H613" s="410">
        <f>IF(K613&gt;='Pro Forma Detail'!D$66,'Pro Forma Detail'!D$67,'Debt ReFi'!$B$5)</f>
        <v>0.0275</v>
      </c>
      <c r="I613" s="1" t="str">
        <f t="shared" si="1"/>
        <v/>
      </c>
      <c r="J613" s="406">
        <f t="shared" si="13"/>
        <v>63951</v>
      </c>
      <c r="K613" s="105">
        <f t="shared" si="9"/>
        <v>55</v>
      </c>
      <c r="L613" s="411" t="str">
        <f t="shared" si="10"/>
        <v/>
      </c>
      <c r="M613" s="407" t="str">
        <f t="shared" si="2"/>
        <v/>
      </c>
      <c r="N613" s="407">
        <f t="shared" si="3"/>
        <v>0</v>
      </c>
      <c r="O613" s="407" t="str">
        <f t="shared" si="4"/>
        <v/>
      </c>
      <c r="P613" s="1"/>
    </row>
    <row r="614" ht="12.75" customHeight="1">
      <c r="A614" s="1">
        <v>603.0</v>
      </c>
      <c r="B614" s="408" t="str">
        <f t="shared" si="5"/>
        <v/>
      </c>
      <c r="C614" s="408">
        <f t="shared" si="6"/>
        <v>0</v>
      </c>
      <c r="D614" s="408" t="str">
        <f t="shared" si="7"/>
        <v/>
      </c>
      <c r="E614" s="176" t="str">
        <f t="shared" si="8"/>
        <v/>
      </c>
      <c r="F614" s="408" t="str">
        <f t="shared" si="11"/>
        <v/>
      </c>
      <c r="G614" s="408" t="str">
        <f t="shared" si="12"/>
        <v/>
      </c>
      <c r="H614" s="410">
        <f>IF(K614&gt;='Pro Forma Detail'!D$66,'Pro Forma Detail'!D$67,'Debt ReFi'!$B$5)</f>
        <v>0.0275</v>
      </c>
      <c r="I614" s="1" t="str">
        <f t="shared" si="1"/>
        <v/>
      </c>
      <c r="J614" s="406">
        <f t="shared" si="13"/>
        <v>63979</v>
      </c>
      <c r="K614" s="105">
        <f t="shared" si="9"/>
        <v>55</v>
      </c>
      <c r="L614" s="411" t="str">
        <f t="shared" si="10"/>
        <v/>
      </c>
      <c r="M614" s="407" t="str">
        <f t="shared" si="2"/>
        <v/>
      </c>
      <c r="N614" s="407">
        <f t="shared" si="3"/>
        <v>0</v>
      </c>
      <c r="O614" s="407" t="str">
        <f t="shared" si="4"/>
        <v/>
      </c>
      <c r="P614" s="1"/>
    </row>
    <row r="615" ht="12.75" customHeight="1">
      <c r="A615" s="1">
        <v>604.0</v>
      </c>
      <c r="B615" s="408" t="str">
        <f t="shared" si="5"/>
        <v/>
      </c>
      <c r="C615" s="408">
        <f t="shared" si="6"/>
        <v>0</v>
      </c>
      <c r="D615" s="408" t="str">
        <f t="shared" si="7"/>
        <v/>
      </c>
      <c r="E615" s="176" t="str">
        <f t="shared" si="8"/>
        <v/>
      </c>
      <c r="F615" s="408" t="str">
        <f t="shared" si="11"/>
        <v/>
      </c>
      <c r="G615" s="408" t="str">
        <f t="shared" si="12"/>
        <v/>
      </c>
      <c r="H615" s="410">
        <f>IF(K615&gt;='Pro Forma Detail'!D$66,'Pro Forma Detail'!D$67,'Debt ReFi'!$B$5)</f>
        <v>0.0275</v>
      </c>
      <c r="I615" s="1" t="str">
        <f t="shared" si="1"/>
        <v/>
      </c>
      <c r="J615" s="406">
        <f t="shared" si="13"/>
        <v>64010</v>
      </c>
      <c r="K615" s="105">
        <f t="shared" si="9"/>
        <v>55</v>
      </c>
      <c r="L615" s="411" t="str">
        <f t="shared" si="10"/>
        <v/>
      </c>
      <c r="M615" s="407" t="str">
        <f t="shared" si="2"/>
        <v/>
      </c>
      <c r="N615" s="407">
        <f t="shared" si="3"/>
        <v>0</v>
      </c>
      <c r="O615" s="407" t="str">
        <f t="shared" si="4"/>
        <v/>
      </c>
      <c r="P615" s="1"/>
    </row>
    <row r="616" ht="12.75" customHeight="1">
      <c r="A616" s="1">
        <v>605.0</v>
      </c>
      <c r="B616" s="408" t="str">
        <f t="shared" si="5"/>
        <v/>
      </c>
      <c r="C616" s="408">
        <f t="shared" si="6"/>
        <v>0</v>
      </c>
      <c r="D616" s="408" t="str">
        <f t="shared" si="7"/>
        <v/>
      </c>
      <c r="E616" s="176" t="str">
        <f t="shared" si="8"/>
        <v/>
      </c>
      <c r="F616" s="408" t="str">
        <f t="shared" si="11"/>
        <v/>
      </c>
      <c r="G616" s="408" t="str">
        <f t="shared" si="12"/>
        <v/>
      </c>
      <c r="H616" s="410">
        <f>IF(K616&gt;='Pro Forma Detail'!D$66,'Pro Forma Detail'!D$67,'Debt ReFi'!$B$5)</f>
        <v>0.0275</v>
      </c>
      <c r="I616" s="1" t="str">
        <f t="shared" si="1"/>
        <v/>
      </c>
      <c r="J616" s="406">
        <f t="shared" si="13"/>
        <v>64040</v>
      </c>
      <c r="K616" s="105">
        <f t="shared" si="9"/>
        <v>55</v>
      </c>
      <c r="L616" s="411" t="str">
        <f t="shared" si="10"/>
        <v/>
      </c>
      <c r="M616" s="407" t="str">
        <f t="shared" si="2"/>
        <v/>
      </c>
      <c r="N616" s="407">
        <f t="shared" si="3"/>
        <v>0</v>
      </c>
      <c r="O616" s="407" t="str">
        <f t="shared" si="4"/>
        <v/>
      </c>
      <c r="P616" s="1"/>
    </row>
    <row r="617" ht="12.75" customHeight="1">
      <c r="A617" s="1">
        <v>606.0</v>
      </c>
      <c r="B617" s="408" t="str">
        <f t="shared" si="5"/>
        <v/>
      </c>
      <c r="C617" s="408">
        <f t="shared" si="6"/>
        <v>0</v>
      </c>
      <c r="D617" s="408" t="str">
        <f t="shared" si="7"/>
        <v/>
      </c>
      <c r="E617" s="176" t="str">
        <f t="shared" si="8"/>
        <v/>
      </c>
      <c r="F617" s="408" t="str">
        <f t="shared" si="11"/>
        <v/>
      </c>
      <c r="G617" s="408" t="str">
        <f t="shared" si="12"/>
        <v/>
      </c>
      <c r="H617" s="410">
        <f>IF(K617&gt;='Pro Forma Detail'!D$66,'Pro Forma Detail'!D$67,'Debt ReFi'!$B$5)</f>
        <v>0.0275</v>
      </c>
      <c r="I617" s="1" t="str">
        <f t="shared" si="1"/>
        <v/>
      </c>
      <c r="J617" s="406">
        <f t="shared" si="13"/>
        <v>64071</v>
      </c>
      <c r="K617" s="105">
        <f t="shared" si="9"/>
        <v>55</v>
      </c>
      <c r="L617" s="411" t="str">
        <f t="shared" si="10"/>
        <v/>
      </c>
      <c r="M617" s="407" t="str">
        <f t="shared" si="2"/>
        <v/>
      </c>
      <c r="N617" s="407">
        <f t="shared" si="3"/>
        <v>0</v>
      </c>
      <c r="O617" s="407" t="str">
        <f t="shared" si="4"/>
        <v/>
      </c>
      <c r="P617" s="1"/>
    </row>
    <row r="618" ht="12.75" customHeight="1">
      <c r="A618" s="1">
        <v>607.0</v>
      </c>
      <c r="B618" s="408" t="str">
        <f t="shared" si="5"/>
        <v/>
      </c>
      <c r="C618" s="408">
        <f t="shared" si="6"/>
        <v>0</v>
      </c>
      <c r="D618" s="408" t="str">
        <f t="shared" si="7"/>
        <v/>
      </c>
      <c r="E618" s="176" t="str">
        <f t="shared" si="8"/>
        <v/>
      </c>
      <c r="F618" s="408" t="str">
        <f t="shared" si="11"/>
        <v/>
      </c>
      <c r="G618" s="408" t="str">
        <f t="shared" si="12"/>
        <v/>
      </c>
      <c r="H618" s="410">
        <f>IF(K618&gt;='Pro Forma Detail'!D$66,'Pro Forma Detail'!D$67,'Debt ReFi'!$B$5)</f>
        <v>0.0275</v>
      </c>
      <c r="I618" s="1" t="str">
        <f t="shared" si="1"/>
        <v/>
      </c>
      <c r="J618" s="406">
        <f t="shared" si="13"/>
        <v>64101</v>
      </c>
      <c r="K618" s="105">
        <f t="shared" si="9"/>
        <v>55</v>
      </c>
      <c r="L618" s="411" t="str">
        <f t="shared" si="10"/>
        <v/>
      </c>
      <c r="M618" s="407" t="str">
        <f t="shared" si="2"/>
        <v/>
      </c>
      <c r="N618" s="407">
        <f t="shared" si="3"/>
        <v>0</v>
      </c>
      <c r="O618" s="407" t="str">
        <f t="shared" si="4"/>
        <v/>
      </c>
      <c r="P618" s="1"/>
    </row>
    <row r="619" ht="12.75" customHeight="1">
      <c r="A619" s="1">
        <v>608.0</v>
      </c>
      <c r="B619" s="408" t="str">
        <f t="shared" si="5"/>
        <v/>
      </c>
      <c r="C619" s="408">
        <f t="shared" si="6"/>
        <v>0</v>
      </c>
      <c r="D619" s="408" t="str">
        <f t="shared" si="7"/>
        <v/>
      </c>
      <c r="E619" s="176" t="str">
        <f t="shared" si="8"/>
        <v/>
      </c>
      <c r="F619" s="408" t="str">
        <f t="shared" si="11"/>
        <v/>
      </c>
      <c r="G619" s="408" t="str">
        <f t="shared" si="12"/>
        <v/>
      </c>
      <c r="H619" s="410">
        <f>IF(K619&gt;='Pro Forma Detail'!D$66,'Pro Forma Detail'!D$67,'Debt ReFi'!$B$5)</f>
        <v>0.0275</v>
      </c>
      <c r="I619" s="1" t="str">
        <f t="shared" si="1"/>
        <v/>
      </c>
      <c r="J619" s="406">
        <f t="shared" si="13"/>
        <v>64132</v>
      </c>
      <c r="K619" s="105">
        <f t="shared" si="9"/>
        <v>55</v>
      </c>
      <c r="L619" s="411" t="str">
        <f t="shared" si="10"/>
        <v/>
      </c>
      <c r="M619" s="407" t="str">
        <f t="shared" si="2"/>
        <v/>
      </c>
      <c r="N619" s="407">
        <f t="shared" si="3"/>
        <v>0</v>
      </c>
      <c r="O619" s="407" t="str">
        <f t="shared" si="4"/>
        <v/>
      </c>
      <c r="P619" s="1"/>
    </row>
    <row r="620" ht="12.75" customHeight="1">
      <c r="A620" s="1">
        <v>609.0</v>
      </c>
      <c r="B620" s="408" t="str">
        <f t="shared" si="5"/>
        <v/>
      </c>
      <c r="C620" s="408">
        <f t="shared" si="6"/>
        <v>0</v>
      </c>
      <c r="D620" s="408" t="str">
        <f t="shared" si="7"/>
        <v/>
      </c>
      <c r="E620" s="176" t="str">
        <f t="shared" si="8"/>
        <v/>
      </c>
      <c r="F620" s="408" t="str">
        <f t="shared" si="11"/>
        <v/>
      </c>
      <c r="G620" s="408" t="str">
        <f t="shared" si="12"/>
        <v/>
      </c>
      <c r="H620" s="410">
        <f>IF(K620&gt;='Pro Forma Detail'!D$66,'Pro Forma Detail'!D$67,'Debt ReFi'!$B$5)</f>
        <v>0.0275</v>
      </c>
      <c r="I620" s="1" t="str">
        <f t="shared" si="1"/>
        <v/>
      </c>
      <c r="J620" s="406">
        <f t="shared" si="13"/>
        <v>64163</v>
      </c>
      <c r="K620" s="105">
        <f t="shared" si="9"/>
        <v>55</v>
      </c>
      <c r="L620" s="411" t="str">
        <f t="shared" si="10"/>
        <v/>
      </c>
      <c r="M620" s="407" t="str">
        <f t="shared" si="2"/>
        <v/>
      </c>
      <c r="N620" s="407">
        <f t="shared" si="3"/>
        <v>0</v>
      </c>
      <c r="O620" s="407" t="str">
        <f t="shared" si="4"/>
        <v/>
      </c>
      <c r="P620" s="1"/>
    </row>
    <row r="621" ht="12.75" customHeight="1">
      <c r="A621" s="1">
        <v>610.0</v>
      </c>
      <c r="B621" s="408" t="str">
        <f t="shared" si="5"/>
        <v/>
      </c>
      <c r="C621" s="408">
        <f t="shared" si="6"/>
        <v>0</v>
      </c>
      <c r="D621" s="408" t="str">
        <f t="shared" si="7"/>
        <v/>
      </c>
      <c r="E621" s="176" t="str">
        <f t="shared" si="8"/>
        <v/>
      </c>
      <c r="F621" s="408" t="str">
        <f t="shared" si="11"/>
        <v/>
      </c>
      <c r="G621" s="408" t="str">
        <f t="shared" si="12"/>
        <v/>
      </c>
      <c r="H621" s="410">
        <f>IF(K621&gt;='Pro Forma Detail'!D$66,'Pro Forma Detail'!D$67,'Debt ReFi'!$B$5)</f>
        <v>0.0275</v>
      </c>
      <c r="I621" s="1" t="str">
        <f t="shared" si="1"/>
        <v/>
      </c>
      <c r="J621" s="406">
        <f t="shared" si="13"/>
        <v>64193</v>
      </c>
      <c r="K621" s="105">
        <f t="shared" si="9"/>
        <v>55</v>
      </c>
      <c r="L621" s="411" t="str">
        <f t="shared" si="10"/>
        <v/>
      </c>
      <c r="M621" s="407" t="str">
        <f t="shared" si="2"/>
        <v/>
      </c>
      <c r="N621" s="407">
        <f t="shared" si="3"/>
        <v>0</v>
      </c>
      <c r="O621" s="407" t="str">
        <f t="shared" si="4"/>
        <v/>
      </c>
      <c r="P621" s="1"/>
    </row>
    <row r="622" ht="12.75" customHeight="1">
      <c r="A622" s="1">
        <v>611.0</v>
      </c>
      <c r="B622" s="408" t="str">
        <f t="shared" si="5"/>
        <v/>
      </c>
      <c r="C622" s="408">
        <f t="shared" si="6"/>
        <v>0</v>
      </c>
      <c r="D622" s="408" t="str">
        <f t="shared" si="7"/>
        <v/>
      </c>
      <c r="E622" s="176" t="str">
        <f t="shared" si="8"/>
        <v/>
      </c>
      <c r="F622" s="408" t="str">
        <f t="shared" si="11"/>
        <v/>
      </c>
      <c r="G622" s="408" t="str">
        <f t="shared" si="12"/>
        <v/>
      </c>
      <c r="H622" s="410">
        <f>IF(K622&gt;='Pro Forma Detail'!D$66,'Pro Forma Detail'!D$67,'Debt ReFi'!$B$5)</f>
        <v>0.0275</v>
      </c>
      <c r="I622" s="1" t="str">
        <f t="shared" si="1"/>
        <v/>
      </c>
      <c r="J622" s="406">
        <f t="shared" si="13"/>
        <v>64224</v>
      </c>
      <c r="K622" s="105">
        <f t="shared" si="9"/>
        <v>55</v>
      </c>
      <c r="L622" s="411" t="str">
        <f t="shared" si="10"/>
        <v/>
      </c>
      <c r="M622" s="407" t="str">
        <f t="shared" si="2"/>
        <v/>
      </c>
      <c r="N622" s="407">
        <f t="shared" si="3"/>
        <v>0</v>
      </c>
      <c r="O622" s="407" t="str">
        <f t="shared" si="4"/>
        <v/>
      </c>
      <c r="P622" s="1"/>
    </row>
    <row r="623" ht="12.75" customHeight="1">
      <c r="A623" s="1">
        <v>612.0</v>
      </c>
      <c r="B623" s="408" t="str">
        <f t="shared" si="5"/>
        <v/>
      </c>
      <c r="C623" s="408">
        <f t="shared" si="6"/>
        <v>0</v>
      </c>
      <c r="D623" s="408" t="str">
        <f t="shared" si="7"/>
        <v/>
      </c>
      <c r="E623" s="176" t="str">
        <f t="shared" si="8"/>
        <v/>
      </c>
      <c r="F623" s="408" t="str">
        <f t="shared" si="11"/>
        <v/>
      </c>
      <c r="G623" s="408" t="str">
        <f t="shared" si="12"/>
        <v/>
      </c>
      <c r="H623" s="410">
        <f>IF(K623&gt;='Pro Forma Detail'!D$66,'Pro Forma Detail'!D$67,'Debt ReFi'!$B$5)</f>
        <v>0.0275</v>
      </c>
      <c r="I623" s="1" t="str">
        <f t="shared" si="1"/>
        <v/>
      </c>
      <c r="J623" s="406">
        <f t="shared" si="13"/>
        <v>64254</v>
      </c>
      <c r="K623" s="105">
        <f t="shared" si="9"/>
        <v>55</v>
      </c>
      <c r="L623" s="411" t="str">
        <f t="shared" si="10"/>
        <v/>
      </c>
      <c r="M623" s="407" t="str">
        <f t="shared" si="2"/>
        <v/>
      </c>
      <c r="N623" s="407">
        <f t="shared" si="3"/>
        <v>0</v>
      </c>
      <c r="O623" s="407" t="str">
        <f t="shared" si="4"/>
        <v/>
      </c>
      <c r="P623" s="1"/>
    </row>
    <row r="624" ht="12.75" customHeight="1">
      <c r="A624" s="1">
        <v>613.0</v>
      </c>
      <c r="B624" s="408" t="str">
        <f t="shared" si="5"/>
        <v/>
      </c>
      <c r="C624" s="408">
        <f t="shared" si="6"/>
        <v>0</v>
      </c>
      <c r="D624" s="408" t="str">
        <f t="shared" si="7"/>
        <v/>
      </c>
      <c r="E624" s="176" t="str">
        <f t="shared" si="8"/>
        <v/>
      </c>
      <c r="F624" s="408" t="str">
        <f t="shared" si="11"/>
        <v/>
      </c>
      <c r="G624" s="408" t="str">
        <f t="shared" si="12"/>
        <v/>
      </c>
      <c r="H624" s="410">
        <f>IF(K624&gt;='Pro Forma Detail'!D$66,'Pro Forma Detail'!D$67,'Debt ReFi'!$B$5)</f>
        <v>0.0275</v>
      </c>
      <c r="I624" s="1" t="str">
        <f t="shared" si="1"/>
        <v/>
      </c>
      <c r="J624" s="406">
        <f t="shared" si="13"/>
        <v>64285</v>
      </c>
      <c r="K624" s="105">
        <f t="shared" si="9"/>
        <v>56</v>
      </c>
      <c r="L624" s="411" t="str">
        <f t="shared" si="10"/>
        <v/>
      </c>
      <c r="M624" s="407" t="str">
        <f t="shared" si="2"/>
        <v/>
      </c>
      <c r="N624" s="407">
        <f t="shared" si="3"/>
        <v>0</v>
      </c>
      <c r="O624" s="407" t="str">
        <f t="shared" si="4"/>
        <v/>
      </c>
      <c r="P624" s="1"/>
    </row>
    <row r="625" ht="12.75" customHeight="1">
      <c r="A625" s="1">
        <v>614.0</v>
      </c>
      <c r="B625" s="408" t="str">
        <f t="shared" si="5"/>
        <v/>
      </c>
      <c r="C625" s="408">
        <f t="shared" si="6"/>
        <v>0</v>
      </c>
      <c r="D625" s="408" t="str">
        <f t="shared" si="7"/>
        <v/>
      </c>
      <c r="E625" s="176" t="str">
        <f t="shared" si="8"/>
        <v/>
      </c>
      <c r="F625" s="408" t="str">
        <f t="shared" si="11"/>
        <v/>
      </c>
      <c r="G625" s="408" t="str">
        <f t="shared" si="12"/>
        <v/>
      </c>
      <c r="H625" s="410">
        <f>IF(K625&gt;='Pro Forma Detail'!D$66,'Pro Forma Detail'!D$67,'Debt ReFi'!$B$5)</f>
        <v>0.0275</v>
      </c>
      <c r="I625" s="1" t="str">
        <f t="shared" si="1"/>
        <v/>
      </c>
      <c r="J625" s="406">
        <f t="shared" si="13"/>
        <v>64316</v>
      </c>
      <c r="K625" s="105">
        <f t="shared" si="9"/>
        <v>56</v>
      </c>
      <c r="L625" s="411" t="str">
        <f t="shared" si="10"/>
        <v/>
      </c>
      <c r="M625" s="407" t="str">
        <f t="shared" si="2"/>
        <v/>
      </c>
      <c r="N625" s="407">
        <f t="shared" si="3"/>
        <v>0</v>
      </c>
      <c r="O625" s="407" t="str">
        <f t="shared" si="4"/>
        <v/>
      </c>
      <c r="P625" s="1"/>
    </row>
    <row r="626" ht="12.75" customHeight="1">
      <c r="A626" s="1">
        <v>615.0</v>
      </c>
      <c r="B626" s="408" t="str">
        <f t="shared" si="5"/>
        <v/>
      </c>
      <c r="C626" s="408">
        <f t="shared" si="6"/>
        <v>0</v>
      </c>
      <c r="D626" s="408" t="str">
        <f t="shared" si="7"/>
        <v/>
      </c>
      <c r="E626" s="176" t="str">
        <f t="shared" si="8"/>
        <v/>
      </c>
      <c r="F626" s="408" t="str">
        <f t="shared" si="11"/>
        <v/>
      </c>
      <c r="G626" s="408" t="str">
        <f t="shared" si="12"/>
        <v/>
      </c>
      <c r="H626" s="410">
        <f>IF(K626&gt;='Pro Forma Detail'!D$66,'Pro Forma Detail'!D$67,'Debt ReFi'!$B$5)</f>
        <v>0.0275</v>
      </c>
      <c r="I626" s="1" t="str">
        <f t="shared" si="1"/>
        <v/>
      </c>
      <c r="J626" s="406">
        <f t="shared" si="13"/>
        <v>64345</v>
      </c>
      <c r="K626" s="105">
        <f t="shared" si="9"/>
        <v>56</v>
      </c>
      <c r="L626" s="411" t="str">
        <f t="shared" si="10"/>
        <v/>
      </c>
      <c r="M626" s="407" t="str">
        <f t="shared" si="2"/>
        <v/>
      </c>
      <c r="N626" s="407">
        <f t="shared" si="3"/>
        <v>0</v>
      </c>
      <c r="O626" s="407" t="str">
        <f t="shared" si="4"/>
        <v/>
      </c>
      <c r="P626" s="1"/>
    </row>
    <row r="627" ht="12.75" customHeight="1">
      <c r="A627" s="1">
        <v>616.0</v>
      </c>
      <c r="B627" s="408" t="str">
        <f t="shared" si="5"/>
        <v/>
      </c>
      <c r="C627" s="408">
        <f t="shared" si="6"/>
        <v>0</v>
      </c>
      <c r="D627" s="408" t="str">
        <f t="shared" si="7"/>
        <v/>
      </c>
      <c r="E627" s="176" t="str">
        <f t="shared" si="8"/>
        <v/>
      </c>
      <c r="F627" s="408" t="str">
        <f t="shared" si="11"/>
        <v/>
      </c>
      <c r="G627" s="408" t="str">
        <f t="shared" si="12"/>
        <v/>
      </c>
      <c r="H627" s="410">
        <f>IF(K627&gt;='Pro Forma Detail'!D$66,'Pro Forma Detail'!D$67,'Debt ReFi'!$B$5)</f>
        <v>0.0275</v>
      </c>
      <c r="I627" s="1" t="str">
        <f t="shared" si="1"/>
        <v/>
      </c>
      <c r="J627" s="406">
        <f t="shared" si="13"/>
        <v>64376</v>
      </c>
      <c r="K627" s="105">
        <f t="shared" si="9"/>
        <v>56</v>
      </c>
      <c r="L627" s="411" t="str">
        <f t="shared" si="10"/>
        <v/>
      </c>
      <c r="M627" s="407" t="str">
        <f t="shared" si="2"/>
        <v/>
      </c>
      <c r="N627" s="407">
        <f t="shared" si="3"/>
        <v>0</v>
      </c>
      <c r="O627" s="407" t="str">
        <f t="shared" si="4"/>
        <v/>
      </c>
      <c r="P627" s="1"/>
    </row>
    <row r="628" ht="12.75" customHeight="1">
      <c r="A628" s="1">
        <v>617.0</v>
      </c>
      <c r="B628" s="408" t="str">
        <f t="shared" si="5"/>
        <v/>
      </c>
      <c r="C628" s="408">
        <f t="shared" si="6"/>
        <v>0</v>
      </c>
      <c r="D628" s="408" t="str">
        <f t="shared" si="7"/>
        <v/>
      </c>
      <c r="E628" s="176" t="str">
        <f t="shared" si="8"/>
        <v/>
      </c>
      <c r="F628" s="408" t="str">
        <f t="shared" si="11"/>
        <v/>
      </c>
      <c r="G628" s="408" t="str">
        <f t="shared" si="12"/>
        <v/>
      </c>
      <c r="H628" s="410">
        <f>IF(K628&gt;='Pro Forma Detail'!D$66,'Pro Forma Detail'!D$67,'Debt ReFi'!$B$5)</f>
        <v>0.0275</v>
      </c>
      <c r="I628" s="1" t="str">
        <f t="shared" si="1"/>
        <v/>
      </c>
      <c r="J628" s="406">
        <f t="shared" si="13"/>
        <v>64406</v>
      </c>
      <c r="K628" s="105">
        <f t="shared" si="9"/>
        <v>56</v>
      </c>
      <c r="L628" s="411" t="str">
        <f t="shared" si="10"/>
        <v/>
      </c>
      <c r="M628" s="407" t="str">
        <f t="shared" si="2"/>
        <v/>
      </c>
      <c r="N628" s="407">
        <f t="shared" si="3"/>
        <v>0</v>
      </c>
      <c r="O628" s="407" t="str">
        <f t="shared" si="4"/>
        <v/>
      </c>
      <c r="P628" s="1"/>
    </row>
    <row r="629" ht="12.75" customHeight="1">
      <c r="A629" s="1">
        <v>618.0</v>
      </c>
      <c r="B629" s="408" t="str">
        <f t="shared" si="5"/>
        <v/>
      </c>
      <c r="C629" s="408">
        <f t="shared" si="6"/>
        <v>0</v>
      </c>
      <c r="D629" s="408" t="str">
        <f t="shared" si="7"/>
        <v/>
      </c>
      <c r="E629" s="176" t="str">
        <f t="shared" si="8"/>
        <v/>
      </c>
      <c r="F629" s="408" t="str">
        <f t="shared" si="11"/>
        <v/>
      </c>
      <c r="G629" s="408" t="str">
        <f t="shared" si="12"/>
        <v/>
      </c>
      <c r="H629" s="410">
        <f>IF(K629&gt;='Pro Forma Detail'!D$66,'Pro Forma Detail'!D$67,'Debt ReFi'!$B$5)</f>
        <v>0.0275</v>
      </c>
      <c r="I629" s="1" t="str">
        <f t="shared" si="1"/>
        <v/>
      </c>
      <c r="J629" s="406">
        <f t="shared" si="13"/>
        <v>64437</v>
      </c>
      <c r="K629" s="105">
        <f t="shared" si="9"/>
        <v>56</v>
      </c>
      <c r="L629" s="411" t="str">
        <f t="shared" si="10"/>
        <v/>
      </c>
      <c r="M629" s="407" t="str">
        <f t="shared" si="2"/>
        <v/>
      </c>
      <c r="N629" s="407">
        <f t="shared" si="3"/>
        <v>0</v>
      </c>
      <c r="O629" s="407" t="str">
        <f t="shared" si="4"/>
        <v/>
      </c>
      <c r="P629" s="1"/>
    </row>
    <row r="630" ht="12.75" customHeight="1">
      <c r="A630" s="1">
        <v>619.0</v>
      </c>
      <c r="B630" s="408" t="str">
        <f t="shared" si="5"/>
        <v/>
      </c>
      <c r="C630" s="408">
        <f t="shared" si="6"/>
        <v>0</v>
      </c>
      <c r="D630" s="408" t="str">
        <f t="shared" si="7"/>
        <v/>
      </c>
      <c r="E630" s="176" t="str">
        <f t="shared" si="8"/>
        <v/>
      </c>
      <c r="F630" s="408" t="str">
        <f t="shared" si="11"/>
        <v/>
      </c>
      <c r="G630" s="408" t="str">
        <f t="shared" si="12"/>
        <v/>
      </c>
      <c r="H630" s="410">
        <f>IF(K630&gt;='Pro Forma Detail'!D$66,'Pro Forma Detail'!D$67,'Debt ReFi'!$B$5)</f>
        <v>0.0275</v>
      </c>
      <c r="I630" s="1" t="str">
        <f t="shared" si="1"/>
        <v/>
      </c>
      <c r="J630" s="406">
        <f t="shared" si="13"/>
        <v>64467</v>
      </c>
      <c r="K630" s="105">
        <f t="shared" si="9"/>
        <v>56</v>
      </c>
      <c r="L630" s="411" t="str">
        <f t="shared" si="10"/>
        <v/>
      </c>
      <c r="M630" s="407" t="str">
        <f t="shared" si="2"/>
        <v/>
      </c>
      <c r="N630" s="407">
        <f t="shared" si="3"/>
        <v>0</v>
      </c>
      <c r="O630" s="407" t="str">
        <f t="shared" si="4"/>
        <v/>
      </c>
      <c r="P630" s="1"/>
    </row>
    <row r="631" ht="12.75" customHeight="1">
      <c r="A631" s="1">
        <v>620.0</v>
      </c>
      <c r="B631" s="408" t="str">
        <f t="shared" si="5"/>
        <v/>
      </c>
      <c r="C631" s="408">
        <f t="shared" si="6"/>
        <v>0</v>
      </c>
      <c r="D631" s="408" t="str">
        <f t="shared" si="7"/>
        <v/>
      </c>
      <c r="E631" s="176" t="str">
        <f t="shared" si="8"/>
        <v/>
      </c>
      <c r="F631" s="408" t="str">
        <f t="shared" si="11"/>
        <v/>
      </c>
      <c r="G631" s="408" t="str">
        <f t="shared" si="12"/>
        <v/>
      </c>
      <c r="H631" s="410">
        <f>IF(K631&gt;='Pro Forma Detail'!D$66,'Pro Forma Detail'!D$67,'Debt ReFi'!$B$5)</f>
        <v>0.0275</v>
      </c>
      <c r="I631" s="1" t="str">
        <f t="shared" si="1"/>
        <v/>
      </c>
      <c r="J631" s="406">
        <f t="shared" si="13"/>
        <v>64498</v>
      </c>
      <c r="K631" s="105">
        <f t="shared" si="9"/>
        <v>56</v>
      </c>
      <c r="L631" s="411" t="str">
        <f t="shared" si="10"/>
        <v/>
      </c>
      <c r="M631" s="407" t="str">
        <f t="shared" si="2"/>
        <v/>
      </c>
      <c r="N631" s="407">
        <f t="shared" si="3"/>
        <v>0</v>
      </c>
      <c r="O631" s="407" t="str">
        <f t="shared" si="4"/>
        <v/>
      </c>
      <c r="P631" s="1"/>
    </row>
    <row r="632" ht="12.75" customHeight="1">
      <c r="A632" s="1">
        <v>621.0</v>
      </c>
      <c r="B632" s="408" t="str">
        <f t="shared" si="5"/>
        <v/>
      </c>
      <c r="C632" s="408">
        <f t="shared" si="6"/>
        <v>0</v>
      </c>
      <c r="D632" s="408" t="str">
        <f t="shared" si="7"/>
        <v/>
      </c>
      <c r="E632" s="176" t="str">
        <f t="shared" si="8"/>
        <v/>
      </c>
      <c r="F632" s="408" t="str">
        <f t="shared" si="11"/>
        <v/>
      </c>
      <c r="G632" s="408" t="str">
        <f t="shared" si="12"/>
        <v/>
      </c>
      <c r="H632" s="410">
        <f>IF(K632&gt;='Pro Forma Detail'!D$66,'Pro Forma Detail'!D$67,'Debt ReFi'!$B$5)</f>
        <v>0.0275</v>
      </c>
      <c r="I632" s="1" t="str">
        <f t="shared" si="1"/>
        <v/>
      </c>
      <c r="J632" s="406">
        <f t="shared" si="13"/>
        <v>64529</v>
      </c>
      <c r="K632" s="105">
        <f t="shared" si="9"/>
        <v>56</v>
      </c>
      <c r="L632" s="411" t="str">
        <f t="shared" si="10"/>
        <v/>
      </c>
      <c r="M632" s="407" t="str">
        <f t="shared" si="2"/>
        <v/>
      </c>
      <c r="N632" s="407">
        <f t="shared" si="3"/>
        <v>0</v>
      </c>
      <c r="O632" s="407" t="str">
        <f t="shared" si="4"/>
        <v/>
      </c>
      <c r="P632" s="1"/>
    </row>
    <row r="633" ht="12.75" customHeight="1">
      <c r="A633" s="1">
        <v>622.0</v>
      </c>
      <c r="B633" s="408" t="str">
        <f t="shared" si="5"/>
        <v/>
      </c>
      <c r="C633" s="408">
        <f t="shared" si="6"/>
        <v>0</v>
      </c>
      <c r="D633" s="408" t="str">
        <f t="shared" si="7"/>
        <v/>
      </c>
      <c r="E633" s="176" t="str">
        <f t="shared" si="8"/>
        <v/>
      </c>
      <c r="F633" s="408" t="str">
        <f t="shared" si="11"/>
        <v/>
      </c>
      <c r="G633" s="408" t="str">
        <f t="shared" si="12"/>
        <v/>
      </c>
      <c r="H633" s="410">
        <f>IF(K633&gt;='Pro Forma Detail'!D$66,'Pro Forma Detail'!D$67,'Debt ReFi'!$B$5)</f>
        <v>0.0275</v>
      </c>
      <c r="I633" s="1" t="str">
        <f t="shared" si="1"/>
        <v/>
      </c>
      <c r="J633" s="406">
        <f t="shared" si="13"/>
        <v>64559</v>
      </c>
      <c r="K633" s="105">
        <f t="shared" si="9"/>
        <v>56</v>
      </c>
      <c r="L633" s="411" t="str">
        <f t="shared" si="10"/>
        <v/>
      </c>
      <c r="M633" s="407" t="str">
        <f t="shared" si="2"/>
        <v/>
      </c>
      <c r="N633" s="407">
        <f t="shared" si="3"/>
        <v>0</v>
      </c>
      <c r="O633" s="407" t="str">
        <f t="shared" si="4"/>
        <v/>
      </c>
      <c r="P633" s="1"/>
    </row>
    <row r="634" ht="12.75" customHeight="1">
      <c r="A634" s="1">
        <v>623.0</v>
      </c>
      <c r="B634" s="408" t="str">
        <f t="shared" si="5"/>
        <v/>
      </c>
      <c r="C634" s="408">
        <f t="shared" si="6"/>
        <v>0</v>
      </c>
      <c r="D634" s="408" t="str">
        <f t="shared" si="7"/>
        <v/>
      </c>
      <c r="E634" s="176" t="str">
        <f t="shared" si="8"/>
        <v/>
      </c>
      <c r="F634" s="408" t="str">
        <f t="shared" si="11"/>
        <v/>
      </c>
      <c r="G634" s="408" t="str">
        <f t="shared" si="12"/>
        <v/>
      </c>
      <c r="H634" s="410">
        <f>IF(K634&gt;='Pro Forma Detail'!D$66,'Pro Forma Detail'!D$67,'Debt ReFi'!$B$5)</f>
        <v>0.0275</v>
      </c>
      <c r="I634" s="1" t="str">
        <f t="shared" si="1"/>
        <v/>
      </c>
      <c r="J634" s="406">
        <f t="shared" si="13"/>
        <v>64590</v>
      </c>
      <c r="K634" s="105">
        <f t="shared" si="9"/>
        <v>56</v>
      </c>
      <c r="L634" s="411" t="str">
        <f t="shared" si="10"/>
        <v/>
      </c>
      <c r="M634" s="407" t="str">
        <f t="shared" si="2"/>
        <v/>
      </c>
      <c r="N634" s="407">
        <f t="shared" si="3"/>
        <v>0</v>
      </c>
      <c r="O634" s="407" t="str">
        <f t="shared" si="4"/>
        <v/>
      </c>
      <c r="P634" s="1"/>
    </row>
    <row r="635" ht="12.75" customHeight="1">
      <c r="A635" s="1">
        <v>624.0</v>
      </c>
      <c r="B635" s="408" t="str">
        <f t="shared" si="5"/>
        <v/>
      </c>
      <c r="C635" s="408">
        <f t="shared" si="6"/>
        <v>0</v>
      </c>
      <c r="D635" s="408" t="str">
        <f t="shared" si="7"/>
        <v/>
      </c>
      <c r="E635" s="176" t="str">
        <f t="shared" si="8"/>
        <v/>
      </c>
      <c r="F635" s="408" t="str">
        <f t="shared" si="11"/>
        <v/>
      </c>
      <c r="G635" s="408" t="str">
        <f t="shared" si="12"/>
        <v/>
      </c>
      <c r="H635" s="410">
        <f>IF(K635&gt;='Pro Forma Detail'!D$66,'Pro Forma Detail'!D$67,'Debt ReFi'!$B$5)</f>
        <v>0.0275</v>
      </c>
      <c r="I635" s="1" t="str">
        <f t="shared" si="1"/>
        <v/>
      </c>
      <c r="J635" s="406">
        <f t="shared" si="13"/>
        <v>64620</v>
      </c>
      <c r="K635" s="105">
        <f t="shared" si="9"/>
        <v>56</v>
      </c>
      <c r="L635" s="411" t="str">
        <f t="shared" si="10"/>
        <v/>
      </c>
      <c r="M635" s="407" t="str">
        <f t="shared" si="2"/>
        <v/>
      </c>
      <c r="N635" s="407">
        <f t="shared" si="3"/>
        <v>0</v>
      </c>
      <c r="O635" s="407" t="str">
        <f t="shared" si="4"/>
        <v/>
      </c>
      <c r="P635" s="1"/>
    </row>
    <row r="636" ht="12.75" customHeight="1">
      <c r="A636" s="1">
        <v>625.0</v>
      </c>
      <c r="B636" s="408" t="str">
        <f t="shared" si="5"/>
        <v/>
      </c>
      <c r="C636" s="408">
        <f t="shared" si="6"/>
        <v>0</v>
      </c>
      <c r="D636" s="408" t="str">
        <f t="shared" si="7"/>
        <v/>
      </c>
      <c r="E636" s="176" t="str">
        <f t="shared" si="8"/>
        <v/>
      </c>
      <c r="F636" s="408" t="str">
        <f t="shared" si="11"/>
        <v/>
      </c>
      <c r="G636" s="408" t="str">
        <f t="shared" si="12"/>
        <v/>
      </c>
      <c r="H636" s="410">
        <f>IF(K636&gt;='Pro Forma Detail'!D$66,'Pro Forma Detail'!D$67,'Debt ReFi'!$B$5)</f>
        <v>0.0275</v>
      </c>
      <c r="I636" s="1" t="str">
        <f t="shared" si="1"/>
        <v/>
      </c>
      <c r="J636" s="406">
        <f t="shared" si="13"/>
        <v>64651</v>
      </c>
      <c r="K636" s="105">
        <f t="shared" si="9"/>
        <v>57</v>
      </c>
      <c r="L636" s="411" t="str">
        <f t="shared" si="10"/>
        <v/>
      </c>
      <c r="M636" s="407" t="str">
        <f t="shared" si="2"/>
        <v/>
      </c>
      <c r="N636" s="407">
        <f t="shared" si="3"/>
        <v>0</v>
      </c>
      <c r="O636" s="407" t="str">
        <f t="shared" si="4"/>
        <v/>
      </c>
      <c r="P636" s="1"/>
    </row>
    <row r="637" ht="12.75" customHeight="1">
      <c r="A637" s="1">
        <v>626.0</v>
      </c>
      <c r="B637" s="408" t="str">
        <f t="shared" si="5"/>
        <v/>
      </c>
      <c r="C637" s="408">
        <f t="shared" si="6"/>
        <v>0</v>
      </c>
      <c r="D637" s="408" t="str">
        <f t="shared" si="7"/>
        <v/>
      </c>
      <c r="E637" s="176" t="str">
        <f t="shared" si="8"/>
        <v/>
      </c>
      <c r="F637" s="408" t="str">
        <f t="shared" si="11"/>
        <v/>
      </c>
      <c r="G637" s="408" t="str">
        <f t="shared" si="12"/>
        <v/>
      </c>
      <c r="H637" s="410">
        <f>IF(K637&gt;='Pro Forma Detail'!D$66,'Pro Forma Detail'!D$67,'Debt ReFi'!$B$5)</f>
        <v>0.0275</v>
      </c>
      <c r="I637" s="1" t="str">
        <f t="shared" si="1"/>
        <v/>
      </c>
      <c r="J637" s="406">
        <f t="shared" si="13"/>
        <v>64682</v>
      </c>
      <c r="K637" s="105">
        <f t="shared" si="9"/>
        <v>57</v>
      </c>
      <c r="L637" s="411" t="str">
        <f t="shared" si="10"/>
        <v/>
      </c>
      <c r="M637" s="407" t="str">
        <f t="shared" si="2"/>
        <v/>
      </c>
      <c r="N637" s="407">
        <f t="shared" si="3"/>
        <v>0</v>
      </c>
      <c r="O637" s="407" t="str">
        <f t="shared" si="4"/>
        <v/>
      </c>
      <c r="P637" s="1"/>
    </row>
    <row r="638" ht="12.75" customHeight="1">
      <c r="A638" s="1">
        <v>627.0</v>
      </c>
      <c r="B638" s="408" t="str">
        <f t="shared" si="5"/>
        <v/>
      </c>
      <c r="C638" s="408">
        <f t="shared" si="6"/>
        <v>0</v>
      </c>
      <c r="D638" s="408" t="str">
        <f t="shared" si="7"/>
        <v/>
      </c>
      <c r="E638" s="176" t="str">
        <f t="shared" si="8"/>
        <v/>
      </c>
      <c r="F638" s="408" t="str">
        <f t="shared" si="11"/>
        <v/>
      </c>
      <c r="G638" s="408" t="str">
        <f t="shared" si="12"/>
        <v/>
      </c>
      <c r="H638" s="410">
        <f>IF(K638&gt;='Pro Forma Detail'!D$66,'Pro Forma Detail'!D$67,'Debt ReFi'!$B$5)</f>
        <v>0.0275</v>
      </c>
      <c r="I638" s="1" t="str">
        <f t="shared" si="1"/>
        <v/>
      </c>
      <c r="J638" s="406">
        <f t="shared" si="13"/>
        <v>64710</v>
      </c>
      <c r="K638" s="105">
        <f t="shared" si="9"/>
        <v>57</v>
      </c>
      <c r="L638" s="411" t="str">
        <f t="shared" si="10"/>
        <v/>
      </c>
      <c r="M638" s="407" t="str">
        <f t="shared" si="2"/>
        <v/>
      </c>
      <c r="N638" s="407">
        <f t="shared" si="3"/>
        <v>0</v>
      </c>
      <c r="O638" s="407" t="str">
        <f t="shared" si="4"/>
        <v/>
      </c>
      <c r="P638" s="1"/>
    </row>
    <row r="639" ht="12.75" customHeight="1">
      <c r="A639" s="1">
        <v>628.0</v>
      </c>
      <c r="B639" s="408" t="str">
        <f t="shared" si="5"/>
        <v/>
      </c>
      <c r="C639" s="408">
        <f t="shared" si="6"/>
        <v>0</v>
      </c>
      <c r="D639" s="408" t="str">
        <f t="shared" si="7"/>
        <v/>
      </c>
      <c r="E639" s="176" t="str">
        <f t="shared" si="8"/>
        <v/>
      </c>
      <c r="F639" s="408" t="str">
        <f t="shared" si="11"/>
        <v/>
      </c>
      <c r="G639" s="408" t="str">
        <f t="shared" si="12"/>
        <v/>
      </c>
      <c r="H639" s="410">
        <f>IF(K639&gt;='Pro Forma Detail'!D$66,'Pro Forma Detail'!D$67,'Debt ReFi'!$B$5)</f>
        <v>0.0275</v>
      </c>
      <c r="I639" s="1" t="str">
        <f t="shared" si="1"/>
        <v/>
      </c>
      <c r="J639" s="406">
        <f t="shared" si="13"/>
        <v>64741</v>
      </c>
      <c r="K639" s="105">
        <f t="shared" si="9"/>
        <v>57</v>
      </c>
      <c r="L639" s="411" t="str">
        <f t="shared" si="10"/>
        <v/>
      </c>
      <c r="M639" s="407" t="str">
        <f t="shared" si="2"/>
        <v/>
      </c>
      <c r="N639" s="407">
        <f t="shared" si="3"/>
        <v>0</v>
      </c>
      <c r="O639" s="407" t="str">
        <f t="shared" si="4"/>
        <v/>
      </c>
      <c r="P639" s="1"/>
    </row>
    <row r="640" ht="12.75" customHeight="1">
      <c r="A640" s="1">
        <v>629.0</v>
      </c>
      <c r="B640" s="408" t="str">
        <f t="shared" si="5"/>
        <v/>
      </c>
      <c r="C640" s="408">
        <f t="shared" si="6"/>
        <v>0</v>
      </c>
      <c r="D640" s="408" t="str">
        <f t="shared" si="7"/>
        <v/>
      </c>
      <c r="E640" s="176" t="str">
        <f t="shared" si="8"/>
        <v/>
      </c>
      <c r="F640" s="408" t="str">
        <f t="shared" si="11"/>
        <v/>
      </c>
      <c r="G640" s="408" t="str">
        <f t="shared" si="12"/>
        <v/>
      </c>
      <c r="H640" s="410">
        <f>IF(K640&gt;='Pro Forma Detail'!D$66,'Pro Forma Detail'!D$67,'Debt ReFi'!$B$5)</f>
        <v>0.0275</v>
      </c>
      <c r="I640" s="1" t="str">
        <f t="shared" si="1"/>
        <v/>
      </c>
      <c r="J640" s="406">
        <f t="shared" si="13"/>
        <v>64771</v>
      </c>
      <c r="K640" s="105">
        <f t="shared" si="9"/>
        <v>57</v>
      </c>
      <c r="L640" s="411" t="str">
        <f t="shared" si="10"/>
        <v/>
      </c>
      <c r="M640" s="407" t="str">
        <f t="shared" si="2"/>
        <v/>
      </c>
      <c r="N640" s="407">
        <f t="shared" si="3"/>
        <v>0</v>
      </c>
      <c r="O640" s="407" t="str">
        <f t="shared" si="4"/>
        <v/>
      </c>
      <c r="P640" s="1"/>
    </row>
    <row r="641" ht="12.75" customHeight="1">
      <c r="A641" s="1">
        <v>630.0</v>
      </c>
      <c r="B641" s="408" t="str">
        <f t="shared" si="5"/>
        <v/>
      </c>
      <c r="C641" s="408">
        <f t="shared" si="6"/>
        <v>0</v>
      </c>
      <c r="D641" s="408" t="str">
        <f t="shared" si="7"/>
        <v/>
      </c>
      <c r="E641" s="176" t="str">
        <f t="shared" si="8"/>
        <v/>
      </c>
      <c r="F641" s="408" t="str">
        <f t="shared" si="11"/>
        <v/>
      </c>
      <c r="G641" s="408" t="str">
        <f t="shared" si="12"/>
        <v/>
      </c>
      <c r="H641" s="410">
        <f>IF(K641&gt;='Pro Forma Detail'!D$66,'Pro Forma Detail'!D$67,'Debt ReFi'!$B$5)</f>
        <v>0.0275</v>
      </c>
      <c r="I641" s="1" t="str">
        <f t="shared" si="1"/>
        <v/>
      </c>
      <c r="J641" s="406">
        <f t="shared" si="13"/>
        <v>64802</v>
      </c>
      <c r="K641" s="105">
        <f t="shared" si="9"/>
        <v>57</v>
      </c>
      <c r="L641" s="411" t="str">
        <f t="shared" si="10"/>
        <v/>
      </c>
      <c r="M641" s="407" t="str">
        <f t="shared" si="2"/>
        <v/>
      </c>
      <c r="N641" s="407">
        <f t="shared" si="3"/>
        <v>0</v>
      </c>
      <c r="O641" s="407" t="str">
        <f t="shared" si="4"/>
        <v/>
      </c>
      <c r="P641" s="1"/>
    </row>
    <row r="642" ht="12.75" customHeight="1">
      <c r="A642" s="1">
        <v>631.0</v>
      </c>
      <c r="B642" s="408" t="str">
        <f t="shared" si="5"/>
        <v/>
      </c>
      <c r="C642" s="408">
        <f t="shared" si="6"/>
        <v>0</v>
      </c>
      <c r="D642" s="408" t="str">
        <f t="shared" si="7"/>
        <v/>
      </c>
      <c r="E642" s="176" t="str">
        <f t="shared" si="8"/>
        <v/>
      </c>
      <c r="F642" s="408" t="str">
        <f t="shared" si="11"/>
        <v/>
      </c>
      <c r="G642" s="408" t="str">
        <f t="shared" si="12"/>
        <v/>
      </c>
      <c r="H642" s="410">
        <f>IF(K642&gt;='Pro Forma Detail'!D$66,'Pro Forma Detail'!D$67,'Debt ReFi'!$B$5)</f>
        <v>0.0275</v>
      </c>
      <c r="I642" s="1" t="str">
        <f t="shared" si="1"/>
        <v/>
      </c>
      <c r="J642" s="406">
        <f t="shared" si="13"/>
        <v>64832</v>
      </c>
      <c r="K642" s="105">
        <f t="shared" si="9"/>
        <v>57</v>
      </c>
      <c r="L642" s="411" t="str">
        <f t="shared" si="10"/>
        <v/>
      </c>
      <c r="M642" s="407" t="str">
        <f t="shared" si="2"/>
        <v/>
      </c>
      <c r="N642" s="407">
        <f t="shared" si="3"/>
        <v>0</v>
      </c>
      <c r="O642" s="407" t="str">
        <f t="shared" si="4"/>
        <v/>
      </c>
      <c r="P642" s="1"/>
    </row>
    <row r="643" ht="12.75" customHeight="1">
      <c r="A643" s="1">
        <v>632.0</v>
      </c>
      <c r="B643" s="408" t="str">
        <f t="shared" si="5"/>
        <v/>
      </c>
      <c r="C643" s="408">
        <f t="shared" si="6"/>
        <v>0</v>
      </c>
      <c r="D643" s="408" t="str">
        <f t="shared" si="7"/>
        <v/>
      </c>
      <c r="E643" s="176" t="str">
        <f t="shared" si="8"/>
        <v/>
      </c>
      <c r="F643" s="408" t="str">
        <f t="shared" si="11"/>
        <v/>
      </c>
      <c r="G643" s="408" t="str">
        <f t="shared" si="12"/>
        <v/>
      </c>
      <c r="H643" s="410">
        <f>IF(K643&gt;='Pro Forma Detail'!D$66,'Pro Forma Detail'!D$67,'Debt ReFi'!$B$5)</f>
        <v>0.0275</v>
      </c>
      <c r="I643" s="1" t="str">
        <f t="shared" si="1"/>
        <v/>
      </c>
      <c r="J643" s="406">
        <f t="shared" si="13"/>
        <v>64863</v>
      </c>
      <c r="K643" s="105">
        <f t="shared" si="9"/>
        <v>57</v>
      </c>
      <c r="L643" s="411" t="str">
        <f t="shared" si="10"/>
        <v/>
      </c>
      <c r="M643" s="407" t="str">
        <f t="shared" si="2"/>
        <v/>
      </c>
      <c r="N643" s="407">
        <f t="shared" si="3"/>
        <v>0</v>
      </c>
      <c r="O643" s="407" t="str">
        <f t="shared" si="4"/>
        <v/>
      </c>
      <c r="P643" s="1"/>
    </row>
    <row r="644" ht="12.75" customHeight="1">
      <c r="A644" s="1">
        <v>633.0</v>
      </c>
      <c r="B644" s="408" t="str">
        <f t="shared" si="5"/>
        <v/>
      </c>
      <c r="C644" s="408">
        <f t="shared" si="6"/>
        <v>0</v>
      </c>
      <c r="D644" s="408" t="str">
        <f t="shared" si="7"/>
        <v/>
      </c>
      <c r="E644" s="176" t="str">
        <f t="shared" si="8"/>
        <v/>
      </c>
      <c r="F644" s="408" t="str">
        <f t="shared" si="11"/>
        <v/>
      </c>
      <c r="G644" s="408" t="str">
        <f t="shared" si="12"/>
        <v/>
      </c>
      <c r="H644" s="410">
        <f>IF(K644&gt;='Pro Forma Detail'!D$66,'Pro Forma Detail'!D$67,'Debt ReFi'!$B$5)</f>
        <v>0.0275</v>
      </c>
      <c r="I644" s="1" t="str">
        <f t="shared" si="1"/>
        <v/>
      </c>
      <c r="J644" s="406">
        <f t="shared" si="13"/>
        <v>64894</v>
      </c>
      <c r="K644" s="105">
        <f t="shared" si="9"/>
        <v>57</v>
      </c>
      <c r="L644" s="411" t="str">
        <f t="shared" si="10"/>
        <v/>
      </c>
      <c r="M644" s="407" t="str">
        <f t="shared" si="2"/>
        <v/>
      </c>
      <c r="N644" s="407">
        <f t="shared" si="3"/>
        <v>0</v>
      </c>
      <c r="O644" s="407" t="str">
        <f t="shared" si="4"/>
        <v/>
      </c>
      <c r="P644" s="1"/>
    </row>
    <row r="645" ht="12.75" customHeight="1">
      <c r="A645" s="1">
        <v>634.0</v>
      </c>
      <c r="B645" s="408" t="str">
        <f t="shared" si="5"/>
        <v/>
      </c>
      <c r="C645" s="408">
        <f t="shared" si="6"/>
        <v>0</v>
      </c>
      <c r="D645" s="408" t="str">
        <f t="shared" si="7"/>
        <v/>
      </c>
      <c r="E645" s="176" t="str">
        <f t="shared" si="8"/>
        <v/>
      </c>
      <c r="F645" s="408" t="str">
        <f t="shared" si="11"/>
        <v/>
      </c>
      <c r="G645" s="408" t="str">
        <f t="shared" si="12"/>
        <v/>
      </c>
      <c r="H645" s="410">
        <f>IF(K645&gt;='Pro Forma Detail'!D$66,'Pro Forma Detail'!D$67,'Debt ReFi'!$B$5)</f>
        <v>0.0275</v>
      </c>
      <c r="I645" s="1" t="str">
        <f t="shared" si="1"/>
        <v/>
      </c>
      <c r="J645" s="406">
        <f t="shared" si="13"/>
        <v>64924</v>
      </c>
      <c r="K645" s="105">
        <f t="shared" si="9"/>
        <v>57</v>
      </c>
      <c r="L645" s="411" t="str">
        <f t="shared" si="10"/>
        <v/>
      </c>
      <c r="M645" s="407" t="str">
        <f t="shared" si="2"/>
        <v/>
      </c>
      <c r="N645" s="407">
        <f t="shared" si="3"/>
        <v>0</v>
      </c>
      <c r="O645" s="407" t="str">
        <f t="shared" si="4"/>
        <v/>
      </c>
      <c r="P645" s="1"/>
    </row>
    <row r="646" ht="12.75" customHeight="1">
      <c r="A646" s="1">
        <v>635.0</v>
      </c>
      <c r="B646" s="408" t="str">
        <f t="shared" si="5"/>
        <v/>
      </c>
      <c r="C646" s="408">
        <f t="shared" si="6"/>
        <v>0</v>
      </c>
      <c r="D646" s="408" t="str">
        <f t="shared" si="7"/>
        <v/>
      </c>
      <c r="E646" s="176" t="str">
        <f t="shared" si="8"/>
        <v/>
      </c>
      <c r="F646" s="408" t="str">
        <f t="shared" si="11"/>
        <v/>
      </c>
      <c r="G646" s="408" t="str">
        <f t="shared" si="12"/>
        <v/>
      </c>
      <c r="H646" s="410">
        <f>IF(K646&gt;='Pro Forma Detail'!D$66,'Pro Forma Detail'!D$67,'Debt ReFi'!$B$5)</f>
        <v>0.0275</v>
      </c>
      <c r="I646" s="1" t="str">
        <f t="shared" si="1"/>
        <v/>
      </c>
      <c r="J646" s="406">
        <f t="shared" si="13"/>
        <v>64955</v>
      </c>
      <c r="K646" s="105">
        <f t="shared" si="9"/>
        <v>57</v>
      </c>
      <c r="L646" s="411" t="str">
        <f t="shared" si="10"/>
        <v/>
      </c>
      <c r="M646" s="407" t="str">
        <f t="shared" si="2"/>
        <v/>
      </c>
      <c r="N646" s="407">
        <f t="shared" si="3"/>
        <v>0</v>
      </c>
      <c r="O646" s="407" t="str">
        <f t="shared" si="4"/>
        <v/>
      </c>
      <c r="P646" s="1"/>
    </row>
    <row r="647" ht="12.75" customHeight="1">
      <c r="A647" s="1">
        <v>636.0</v>
      </c>
      <c r="B647" s="408" t="str">
        <f t="shared" si="5"/>
        <v/>
      </c>
      <c r="C647" s="408">
        <f t="shared" si="6"/>
        <v>0</v>
      </c>
      <c r="D647" s="408" t="str">
        <f t="shared" si="7"/>
        <v/>
      </c>
      <c r="E647" s="176" t="str">
        <f t="shared" si="8"/>
        <v/>
      </c>
      <c r="F647" s="408" t="str">
        <f t="shared" si="11"/>
        <v/>
      </c>
      <c r="G647" s="408" t="str">
        <f t="shared" si="12"/>
        <v/>
      </c>
      <c r="H647" s="410">
        <f>IF(K647&gt;='Pro Forma Detail'!D$66,'Pro Forma Detail'!D$67,'Debt ReFi'!$B$5)</f>
        <v>0.0275</v>
      </c>
      <c r="I647" s="1" t="str">
        <f t="shared" si="1"/>
        <v/>
      </c>
      <c r="J647" s="406">
        <f t="shared" si="13"/>
        <v>64985</v>
      </c>
      <c r="K647" s="105">
        <f t="shared" si="9"/>
        <v>57</v>
      </c>
      <c r="L647" s="411" t="str">
        <f t="shared" si="10"/>
        <v/>
      </c>
      <c r="M647" s="407" t="str">
        <f t="shared" si="2"/>
        <v/>
      </c>
      <c r="N647" s="407">
        <f t="shared" si="3"/>
        <v>0</v>
      </c>
      <c r="O647" s="407" t="str">
        <f t="shared" si="4"/>
        <v/>
      </c>
      <c r="P647" s="1"/>
    </row>
    <row r="648" ht="12.75" customHeight="1">
      <c r="A648" s="1">
        <v>637.0</v>
      </c>
      <c r="B648" s="408" t="str">
        <f t="shared" si="5"/>
        <v/>
      </c>
      <c r="C648" s="408">
        <f t="shared" si="6"/>
        <v>0</v>
      </c>
      <c r="D648" s="408" t="str">
        <f t="shared" si="7"/>
        <v/>
      </c>
      <c r="E648" s="176" t="str">
        <f t="shared" si="8"/>
        <v/>
      </c>
      <c r="F648" s="408" t="str">
        <f t="shared" si="11"/>
        <v/>
      </c>
      <c r="G648" s="408" t="str">
        <f t="shared" si="12"/>
        <v/>
      </c>
      <c r="H648" s="410">
        <f>IF(K648&gt;='Pro Forma Detail'!D$66,'Pro Forma Detail'!D$67,'Debt ReFi'!$B$5)</f>
        <v>0.0275</v>
      </c>
      <c r="I648" s="1" t="str">
        <f t="shared" si="1"/>
        <v/>
      </c>
      <c r="J648" s="406">
        <f t="shared" si="13"/>
        <v>65016</v>
      </c>
      <c r="K648" s="105">
        <f t="shared" si="9"/>
        <v>58</v>
      </c>
      <c r="L648" s="411" t="str">
        <f t="shared" si="10"/>
        <v/>
      </c>
      <c r="M648" s="407" t="str">
        <f t="shared" si="2"/>
        <v/>
      </c>
      <c r="N648" s="407">
        <f t="shared" si="3"/>
        <v>0</v>
      </c>
      <c r="O648" s="407" t="str">
        <f t="shared" si="4"/>
        <v/>
      </c>
      <c r="P648" s="1"/>
    </row>
    <row r="649" ht="12.75" customHeight="1">
      <c r="A649" s="1">
        <v>638.0</v>
      </c>
      <c r="B649" s="408" t="str">
        <f t="shared" si="5"/>
        <v/>
      </c>
      <c r="C649" s="408">
        <f t="shared" si="6"/>
        <v>0</v>
      </c>
      <c r="D649" s="408" t="str">
        <f t="shared" si="7"/>
        <v/>
      </c>
      <c r="E649" s="176" t="str">
        <f t="shared" si="8"/>
        <v/>
      </c>
      <c r="F649" s="408" t="str">
        <f t="shared" si="11"/>
        <v/>
      </c>
      <c r="G649" s="408" t="str">
        <f t="shared" si="12"/>
        <v/>
      </c>
      <c r="H649" s="410">
        <f>IF(K649&gt;='Pro Forma Detail'!D$66,'Pro Forma Detail'!D$67,'Debt ReFi'!$B$5)</f>
        <v>0.0275</v>
      </c>
      <c r="I649" s="1" t="str">
        <f t="shared" si="1"/>
        <v/>
      </c>
      <c r="J649" s="406">
        <f t="shared" si="13"/>
        <v>65047</v>
      </c>
      <c r="K649" s="105">
        <f t="shared" si="9"/>
        <v>58</v>
      </c>
      <c r="L649" s="411" t="str">
        <f t="shared" si="10"/>
        <v/>
      </c>
      <c r="M649" s="407" t="str">
        <f t="shared" si="2"/>
        <v/>
      </c>
      <c r="N649" s="407">
        <f t="shared" si="3"/>
        <v>0</v>
      </c>
      <c r="O649" s="407" t="str">
        <f t="shared" si="4"/>
        <v/>
      </c>
      <c r="P649" s="1"/>
    </row>
    <row r="650" ht="12.75" customHeight="1">
      <c r="A650" s="1">
        <v>639.0</v>
      </c>
      <c r="B650" s="408" t="str">
        <f t="shared" si="5"/>
        <v/>
      </c>
      <c r="C650" s="408">
        <f t="shared" si="6"/>
        <v>0</v>
      </c>
      <c r="D650" s="408" t="str">
        <f t="shared" si="7"/>
        <v/>
      </c>
      <c r="E650" s="176" t="str">
        <f t="shared" si="8"/>
        <v/>
      </c>
      <c r="F650" s="408" t="str">
        <f t="shared" si="11"/>
        <v/>
      </c>
      <c r="G650" s="408" t="str">
        <f t="shared" si="12"/>
        <v/>
      </c>
      <c r="H650" s="410">
        <f>IF(K650&gt;='Pro Forma Detail'!D$66,'Pro Forma Detail'!D$67,'Debt ReFi'!$B$5)</f>
        <v>0.0275</v>
      </c>
      <c r="I650" s="1" t="str">
        <f t="shared" si="1"/>
        <v/>
      </c>
      <c r="J650" s="406">
        <f t="shared" si="13"/>
        <v>65075</v>
      </c>
      <c r="K650" s="105">
        <f t="shared" si="9"/>
        <v>58</v>
      </c>
      <c r="L650" s="411" t="str">
        <f t="shared" si="10"/>
        <v/>
      </c>
      <c r="M650" s="407" t="str">
        <f t="shared" si="2"/>
        <v/>
      </c>
      <c r="N650" s="407">
        <f t="shared" si="3"/>
        <v>0</v>
      </c>
      <c r="O650" s="407" t="str">
        <f t="shared" si="4"/>
        <v/>
      </c>
      <c r="P650" s="1"/>
    </row>
    <row r="651" ht="12.75" customHeight="1">
      <c r="A651" s="1">
        <v>640.0</v>
      </c>
      <c r="B651" s="408" t="str">
        <f t="shared" si="5"/>
        <v/>
      </c>
      <c r="C651" s="408">
        <f t="shared" si="6"/>
        <v>0</v>
      </c>
      <c r="D651" s="408" t="str">
        <f t="shared" si="7"/>
        <v/>
      </c>
      <c r="E651" s="176" t="str">
        <f t="shared" si="8"/>
        <v/>
      </c>
      <c r="F651" s="408" t="str">
        <f t="shared" si="11"/>
        <v/>
      </c>
      <c r="G651" s="408" t="str">
        <f t="shared" si="12"/>
        <v/>
      </c>
      <c r="H651" s="410">
        <f>IF(K651&gt;='Pro Forma Detail'!D$66,'Pro Forma Detail'!D$67,'Debt ReFi'!$B$5)</f>
        <v>0.0275</v>
      </c>
      <c r="I651" s="1" t="str">
        <f t="shared" si="1"/>
        <v/>
      </c>
      <c r="J651" s="406">
        <f t="shared" si="13"/>
        <v>65106</v>
      </c>
      <c r="K651" s="105">
        <f t="shared" si="9"/>
        <v>58</v>
      </c>
      <c r="L651" s="411" t="str">
        <f t="shared" si="10"/>
        <v/>
      </c>
      <c r="M651" s="407" t="str">
        <f t="shared" si="2"/>
        <v/>
      </c>
      <c r="N651" s="407">
        <f t="shared" si="3"/>
        <v>0</v>
      </c>
      <c r="O651" s="407" t="str">
        <f t="shared" si="4"/>
        <v/>
      </c>
      <c r="P651" s="1"/>
    </row>
    <row r="652" ht="12.75" customHeight="1">
      <c r="A652" s="1">
        <v>641.0</v>
      </c>
      <c r="B652" s="408" t="str">
        <f t="shared" si="5"/>
        <v/>
      </c>
      <c r="C652" s="408">
        <f t="shared" si="6"/>
        <v>0</v>
      </c>
      <c r="D652" s="408" t="str">
        <f t="shared" si="7"/>
        <v/>
      </c>
      <c r="E652" s="176" t="str">
        <f t="shared" si="8"/>
        <v/>
      </c>
      <c r="F652" s="408" t="str">
        <f t="shared" si="11"/>
        <v/>
      </c>
      <c r="G652" s="408" t="str">
        <f t="shared" si="12"/>
        <v/>
      </c>
      <c r="H652" s="410">
        <f>IF(K652&gt;='Pro Forma Detail'!D$66,'Pro Forma Detail'!D$67,'Debt ReFi'!$B$5)</f>
        <v>0.0275</v>
      </c>
      <c r="I652" s="1" t="str">
        <f t="shared" si="1"/>
        <v/>
      </c>
      <c r="J652" s="406">
        <f t="shared" si="13"/>
        <v>65136</v>
      </c>
      <c r="K652" s="105">
        <f t="shared" si="9"/>
        <v>58</v>
      </c>
      <c r="L652" s="411" t="str">
        <f t="shared" si="10"/>
        <v/>
      </c>
      <c r="M652" s="407" t="str">
        <f t="shared" si="2"/>
        <v/>
      </c>
      <c r="N652" s="407">
        <f t="shared" si="3"/>
        <v>0</v>
      </c>
      <c r="O652" s="407" t="str">
        <f t="shared" si="4"/>
        <v/>
      </c>
      <c r="P652" s="1"/>
    </row>
    <row r="653" ht="12.75" customHeight="1">
      <c r="A653" s="1">
        <v>642.0</v>
      </c>
      <c r="B653" s="408" t="str">
        <f t="shared" si="5"/>
        <v/>
      </c>
      <c r="C653" s="408">
        <f t="shared" si="6"/>
        <v>0</v>
      </c>
      <c r="D653" s="408" t="str">
        <f t="shared" si="7"/>
        <v/>
      </c>
      <c r="E653" s="176" t="str">
        <f t="shared" si="8"/>
        <v/>
      </c>
      <c r="F653" s="408" t="str">
        <f t="shared" si="11"/>
        <v/>
      </c>
      <c r="G653" s="408" t="str">
        <f t="shared" si="12"/>
        <v/>
      </c>
      <c r="H653" s="410">
        <f>IF(K653&gt;='Pro Forma Detail'!D$66,'Pro Forma Detail'!D$67,'Debt ReFi'!$B$5)</f>
        <v>0.0275</v>
      </c>
      <c r="I653" s="1" t="str">
        <f t="shared" si="1"/>
        <v/>
      </c>
      <c r="J653" s="406">
        <f t="shared" si="13"/>
        <v>65167</v>
      </c>
      <c r="K653" s="105">
        <f t="shared" si="9"/>
        <v>58</v>
      </c>
      <c r="L653" s="411" t="str">
        <f t="shared" si="10"/>
        <v/>
      </c>
      <c r="M653" s="407" t="str">
        <f t="shared" si="2"/>
        <v/>
      </c>
      <c r="N653" s="407">
        <f t="shared" si="3"/>
        <v>0</v>
      </c>
      <c r="O653" s="407" t="str">
        <f t="shared" si="4"/>
        <v/>
      </c>
      <c r="P653" s="1"/>
    </row>
    <row r="654" ht="12.75" customHeight="1">
      <c r="A654" s="1">
        <v>643.0</v>
      </c>
      <c r="B654" s="408" t="str">
        <f t="shared" si="5"/>
        <v/>
      </c>
      <c r="C654" s="408">
        <f t="shared" si="6"/>
        <v>0</v>
      </c>
      <c r="D654" s="408" t="str">
        <f t="shared" si="7"/>
        <v/>
      </c>
      <c r="E654" s="176" t="str">
        <f t="shared" si="8"/>
        <v/>
      </c>
      <c r="F654" s="408" t="str">
        <f t="shared" si="11"/>
        <v/>
      </c>
      <c r="G654" s="408" t="str">
        <f t="shared" si="12"/>
        <v/>
      </c>
      <c r="H654" s="410">
        <f>IF(K654&gt;='Pro Forma Detail'!D$66,'Pro Forma Detail'!D$67,'Debt ReFi'!$B$5)</f>
        <v>0.0275</v>
      </c>
      <c r="I654" s="1" t="str">
        <f t="shared" si="1"/>
        <v/>
      </c>
      <c r="J654" s="406">
        <f t="shared" si="13"/>
        <v>65197</v>
      </c>
      <c r="K654" s="105">
        <f t="shared" si="9"/>
        <v>58</v>
      </c>
      <c r="L654" s="411" t="str">
        <f t="shared" si="10"/>
        <v/>
      </c>
      <c r="M654" s="407" t="str">
        <f t="shared" si="2"/>
        <v/>
      </c>
      <c r="N654" s="407">
        <f t="shared" si="3"/>
        <v>0</v>
      </c>
      <c r="O654" s="407" t="str">
        <f t="shared" si="4"/>
        <v/>
      </c>
      <c r="P654" s="1"/>
    </row>
    <row r="655" ht="12.75" customHeight="1">
      <c r="A655" s="1">
        <v>644.0</v>
      </c>
      <c r="B655" s="408" t="str">
        <f t="shared" si="5"/>
        <v/>
      </c>
      <c r="C655" s="408">
        <f t="shared" si="6"/>
        <v>0</v>
      </c>
      <c r="D655" s="408" t="str">
        <f t="shared" si="7"/>
        <v/>
      </c>
      <c r="E655" s="176" t="str">
        <f t="shared" si="8"/>
        <v/>
      </c>
      <c r="F655" s="408" t="str">
        <f t="shared" si="11"/>
        <v/>
      </c>
      <c r="G655" s="408" t="str">
        <f t="shared" si="12"/>
        <v/>
      </c>
      <c r="H655" s="410">
        <f>IF(K655&gt;='Pro Forma Detail'!D$66,'Pro Forma Detail'!D$67,'Debt ReFi'!$B$5)</f>
        <v>0.0275</v>
      </c>
      <c r="I655" s="1" t="str">
        <f t="shared" si="1"/>
        <v/>
      </c>
      <c r="J655" s="406">
        <f t="shared" si="13"/>
        <v>65228</v>
      </c>
      <c r="K655" s="105">
        <f t="shared" si="9"/>
        <v>58</v>
      </c>
      <c r="L655" s="411" t="str">
        <f t="shared" si="10"/>
        <v/>
      </c>
      <c r="M655" s="407" t="str">
        <f t="shared" si="2"/>
        <v/>
      </c>
      <c r="N655" s="407">
        <f t="shared" si="3"/>
        <v>0</v>
      </c>
      <c r="O655" s="407" t="str">
        <f t="shared" si="4"/>
        <v/>
      </c>
      <c r="P655" s="1"/>
    </row>
    <row r="656" ht="12.75" customHeight="1">
      <c r="A656" s="1">
        <v>645.0</v>
      </c>
      <c r="B656" s="408" t="str">
        <f t="shared" si="5"/>
        <v/>
      </c>
      <c r="C656" s="408">
        <f t="shared" si="6"/>
        <v>0</v>
      </c>
      <c r="D656" s="408" t="str">
        <f t="shared" si="7"/>
        <v/>
      </c>
      <c r="E656" s="176" t="str">
        <f t="shared" si="8"/>
        <v/>
      </c>
      <c r="F656" s="408" t="str">
        <f t="shared" si="11"/>
        <v/>
      </c>
      <c r="G656" s="408" t="str">
        <f t="shared" si="12"/>
        <v/>
      </c>
      <c r="H656" s="410">
        <f>IF(K656&gt;='Pro Forma Detail'!D$66,'Pro Forma Detail'!D$67,'Debt ReFi'!$B$5)</f>
        <v>0.0275</v>
      </c>
      <c r="I656" s="1" t="str">
        <f t="shared" si="1"/>
        <v/>
      </c>
      <c r="J656" s="406">
        <f t="shared" si="13"/>
        <v>65259</v>
      </c>
      <c r="K656" s="105">
        <f t="shared" si="9"/>
        <v>58</v>
      </c>
      <c r="L656" s="411" t="str">
        <f t="shared" si="10"/>
        <v/>
      </c>
      <c r="M656" s="407" t="str">
        <f t="shared" si="2"/>
        <v/>
      </c>
      <c r="N656" s="407">
        <f t="shared" si="3"/>
        <v>0</v>
      </c>
      <c r="O656" s="407" t="str">
        <f t="shared" si="4"/>
        <v/>
      </c>
      <c r="P656" s="1"/>
    </row>
    <row r="657" ht="12.75" customHeight="1">
      <c r="A657" s="1">
        <v>646.0</v>
      </c>
      <c r="B657" s="408" t="str">
        <f t="shared" si="5"/>
        <v/>
      </c>
      <c r="C657" s="408">
        <f t="shared" si="6"/>
        <v>0</v>
      </c>
      <c r="D657" s="408" t="str">
        <f t="shared" si="7"/>
        <v/>
      </c>
      <c r="E657" s="176" t="str">
        <f t="shared" si="8"/>
        <v/>
      </c>
      <c r="F657" s="408" t="str">
        <f t="shared" si="11"/>
        <v/>
      </c>
      <c r="G657" s="408" t="str">
        <f t="shared" si="12"/>
        <v/>
      </c>
      <c r="H657" s="410">
        <f>IF(K657&gt;='Pro Forma Detail'!D$66,'Pro Forma Detail'!D$67,'Debt ReFi'!$B$5)</f>
        <v>0.0275</v>
      </c>
      <c r="I657" s="1" t="str">
        <f t="shared" si="1"/>
        <v/>
      </c>
      <c r="J657" s="406">
        <f t="shared" si="13"/>
        <v>65289</v>
      </c>
      <c r="K657" s="105">
        <f t="shared" si="9"/>
        <v>58</v>
      </c>
      <c r="L657" s="411" t="str">
        <f t="shared" si="10"/>
        <v/>
      </c>
      <c r="M657" s="407" t="str">
        <f t="shared" si="2"/>
        <v/>
      </c>
      <c r="N657" s="407">
        <f t="shared" si="3"/>
        <v>0</v>
      </c>
      <c r="O657" s="407" t="str">
        <f t="shared" si="4"/>
        <v/>
      </c>
      <c r="P657" s="1"/>
    </row>
    <row r="658" ht="12.75" customHeight="1">
      <c r="A658" s="1">
        <v>647.0</v>
      </c>
      <c r="B658" s="408" t="str">
        <f t="shared" si="5"/>
        <v/>
      </c>
      <c r="C658" s="408">
        <f t="shared" si="6"/>
        <v>0</v>
      </c>
      <c r="D658" s="408" t="str">
        <f t="shared" si="7"/>
        <v/>
      </c>
      <c r="E658" s="176" t="str">
        <f t="shared" si="8"/>
        <v/>
      </c>
      <c r="F658" s="408" t="str">
        <f t="shared" si="11"/>
        <v/>
      </c>
      <c r="G658" s="408" t="str">
        <f t="shared" si="12"/>
        <v/>
      </c>
      <c r="H658" s="410">
        <f>IF(K658&gt;='Pro Forma Detail'!D$66,'Pro Forma Detail'!D$67,'Debt ReFi'!$B$5)</f>
        <v>0.0275</v>
      </c>
      <c r="I658" s="1" t="str">
        <f t="shared" si="1"/>
        <v/>
      </c>
      <c r="J658" s="406">
        <f t="shared" si="13"/>
        <v>65320</v>
      </c>
      <c r="K658" s="105">
        <f t="shared" si="9"/>
        <v>58</v>
      </c>
      <c r="L658" s="411" t="str">
        <f t="shared" si="10"/>
        <v/>
      </c>
      <c r="M658" s="407" t="str">
        <f t="shared" si="2"/>
        <v/>
      </c>
      <c r="N658" s="407">
        <f t="shared" si="3"/>
        <v>0</v>
      </c>
      <c r="O658" s="407" t="str">
        <f t="shared" si="4"/>
        <v/>
      </c>
      <c r="P658" s="1"/>
    </row>
    <row r="659" ht="12.75" customHeight="1">
      <c r="A659" s="1">
        <v>648.0</v>
      </c>
      <c r="B659" s="408" t="str">
        <f t="shared" si="5"/>
        <v/>
      </c>
      <c r="C659" s="408">
        <f t="shared" si="6"/>
        <v>0</v>
      </c>
      <c r="D659" s="408" t="str">
        <f t="shared" si="7"/>
        <v/>
      </c>
      <c r="E659" s="176" t="str">
        <f t="shared" si="8"/>
        <v/>
      </c>
      <c r="F659" s="408" t="str">
        <f t="shared" si="11"/>
        <v/>
      </c>
      <c r="G659" s="408" t="str">
        <f t="shared" si="12"/>
        <v/>
      </c>
      <c r="H659" s="410">
        <f>IF(K659&gt;='Pro Forma Detail'!D$66,'Pro Forma Detail'!D$67,'Debt ReFi'!$B$5)</f>
        <v>0.0275</v>
      </c>
      <c r="I659" s="1" t="str">
        <f t="shared" si="1"/>
        <v/>
      </c>
      <c r="J659" s="406">
        <f t="shared" si="13"/>
        <v>65350</v>
      </c>
      <c r="K659" s="105">
        <f t="shared" si="9"/>
        <v>58</v>
      </c>
      <c r="L659" s="411" t="str">
        <f t="shared" si="10"/>
        <v/>
      </c>
      <c r="M659" s="407" t="str">
        <f t="shared" si="2"/>
        <v/>
      </c>
      <c r="N659" s="407">
        <f t="shared" si="3"/>
        <v>0</v>
      </c>
      <c r="O659" s="407" t="str">
        <f t="shared" si="4"/>
        <v/>
      </c>
      <c r="P659" s="1"/>
    </row>
    <row r="660" ht="12.75" customHeight="1">
      <c r="A660" s="1">
        <v>649.0</v>
      </c>
      <c r="B660" s="408" t="str">
        <f t="shared" si="5"/>
        <v/>
      </c>
      <c r="C660" s="408">
        <f t="shared" si="6"/>
        <v>0</v>
      </c>
      <c r="D660" s="408" t="str">
        <f t="shared" si="7"/>
        <v/>
      </c>
      <c r="E660" s="176" t="str">
        <f t="shared" si="8"/>
        <v/>
      </c>
      <c r="F660" s="408" t="str">
        <f t="shared" si="11"/>
        <v/>
      </c>
      <c r="G660" s="408" t="str">
        <f t="shared" si="12"/>
        <v/>
      </c>
      <c r="H660" s="410">
        <f>IF(K660&gt;='Pro Forma Detail'!D$66,'Pro Forma Detail'!D$67,'Debt ReFi'!$B$5)</f>
        <v>0.0275</v>
      </c>
      <c r="I660" s="1" t="str">
        <f t="shared" si="1"/>
        <v/>
      </c>
      <c r="J660" s="406">
        <f t="shared" si="13"/>
        <v>65381</v>
      </c>
      <c r="K660" s="105">
        <f t="shared" si="9"/>
        <v>59</v>
      </c>
      <c r="L660" s="411" t="str">
        <f t="shared" si="10"/>
        <v/>
      </c>
      <c r="M660" s="407" t="str">
        <f t="shared" si="2"/>
        <v/>
      </c>
      <c r="N660" s="407">
        <f t="shared" si="3"/>
        <v>0</v>
      </c>
      <c r="O660" s="407" t="str">
        <f t="shared" si="4"/>
        <v/>
      </c>
      <c r="P660" s="1"/>
    </row>
    <row r="661" ht="12.75" customHeight="1">
      <c r="A661" s="1">
        <v>650.0</v>
      </c>
      <c r="B661" s="408" t="str">
        <f t="shared" si="5"/>
        <v/>
      </c>
      <c r="C661" s="408">
        <f t="shared" si="6"/>
        <v>0</v>
      </c>
      <c r="D661" s="408" t="str">
        <f t="shared" si="7"/>
        <v/>
      </c>
      <c r="E661" s="176" t="str">
        <f t="shared" si="8"/>
        <v/>
      </c>
      <c r="F661" s="408" t="str">
        <f t="shared" si="11"/>
        <v/>
      </c>
      <c r="G661" s="408" t="str">
        <f t="shared" si="12"/>
        <v/>
      </c>
      <c r="H661" s="410">
        <f>IF(K661&gt;='Pro Forma Detail'!D$66,'Pro Forma Detail'!D$67,'Debt ReFi'!$B$5)</f>
        <v>0.0275</v>
      </c>
      <c r="I661" s="1" t="str">
        <f t="shared" si="1"/>
        <v/>
      </c>
      <c r="J661" s="406">
        <f t="shared" si="13"/>
        <v>65412</v>
      </c>
      <c r="K661" s="105">
        <f t="shared" si="9"/>
        <v>59</v>
      </c>
      <c r="L661" s="411" t="str">
        <f t="shared" si="10"/>
        <v/>
      </c>
      <c r="M661" s="407" t="str">
        <f t="shared" si="2"/>
        <v/>
      </c>
      <c r="N661" s="407">
        <f t="shared" si="3"/>
        <v>0</v>
      </c>
      <c r="O661" s="407" t="str">
        <f t="shared" si="4"/>
        <v/>
      </c>
      <c r="P661" s="1"/>
    </row>
    <row r="662" ht="12.75" customHeight="1">
      <c r="A662" s="1">
        <v>651.0</v>
      </c>
      <c r="B662" s="408" t="str">
        <f t="shared" si="5"/>
        <v/>
      </c>
      <c r="C662" s="408">
        <f t="shared" si="6"/>
        <v>0</v>
      </c>
      <c r="D662" s="408" t="str">
        <f t="shared" si="7"/>
        <v/>
      </c>
      <c r="E662" s="176" t="str">
        <f t="shared" si="8"/>
        <v/>
      </c>
      <c r="F662" s="408" t="str">
        <f t="shared" si="11"/>
        <v/>
      </c>
      <c r="G662" s="408" t="str">
        <f t="shared" si="12"/>
        <v/>
      </c>
      <c r="H662" s="410">
        <f>IF(K662&gt;='Pro Forma Detail'!D$66,'Pro Forma Detail'!D$67,'Debt ReFi'!$B$5)</f>
        <v>0.0275</v>
      </c>
      <c r="I662" s="1" t="str">
        <f t="shared" si="1"/>
        <v/>
      </c>
      <c r="J662" s="406">
        <f t="shared" si="13"/>
        <v>65440</v>
      </c>
      <c r="K662" s="105">
        <f t="shared" si="9"/>
        <v>59</v>
      </c>
      <c r="L662" s="411" t="str">
        <f t="shared" si="10"/>
        <v/>
      </c>
      <c r="M662" s="407" t="str">
        <f t="shared" si="2"/>
        <v/>
      </c>
      <c r="N662" s="407">
        <f t="shared" si="3"/>
        <v>0</v>
      </c>
      <c r="O662" s="407" t="str">
        <f t="shared" si="4"/>
        <v/>
      </c>
      <c r="P662" s="1"/>
    </row>
    <row r="663" ht="12.75" customHeight="1">
      <c r="A663" s="1">
        <v>652.0</v>
      </c>
      <c r="B663" s="408" t="str">
        <f t="shared" si="5"/>
        <v/>
      </c>
      <c r="C663" s="408">
        <f t="shared" si="6"/>
        <v>0</v>
      </c>
      <c r="D663" s="408" t="str">
        <f t="shared" si="7"/>
        <v/>
      </c>
      <c r="E663" s="176" t="str">
        <f t="shared" si="8"/>
        <v/>
      </c>
      <c r="F663" s="408" t="str">
        <f t="shared" si="11"/>
        <v/>
      </c>
      <c r="G663" s="408" t="str">
        <f t="shared" si="12"/>
        <v/>
      </c>
      <c r="H663" s="410">
        <f>IF(K663&gt;='Pro Forma Detail'!D$66,'Pro Forma Detail'!D$67,'Debt ReFi'!$B$5)</f>
        <v>0.0275</v>
      </c>
      <c r="I663" s="1" t="str">
        <f t="shared" si="1"/>
        <v/>
      </c>
      <c r="J663" s="406">
        <f t="shared" si="13"/>
        <v>65471</v>
      </c>
      <c r="K663" s="105">
        <f t="shared" si="9"/>
        <v>59</v>
      </c>
      <c r="L663" s="411" t="str">
        <f t="shared" si="10"/>
        <v/>
      </c>
      <c r="M663" s="407" t="str">
        <f t="shared" si="2"/>
        <v/>
      </c>
      <c r="N663" s="407">
        <f t="shared" si="3"/>
        <v>0</v>
      </c>
      <c r="O663" s="407" t="str">
        <f t="shared" si="4"/>
        <v/>
      </c>
      <c r="P663" s="1"/>
    </row>
    <row r="664" ht="12.75" customHeight="1">
      <c r="A664" s="1">
        <v>653.0</v>
      </c>
      <c r="B664" s="408" t="str">
        <f t="shared" si="5"/>
        <v/>
      </c>
      <c r="C664" s="408">
        <f t="shared" si="6"/>
        <v>0</v>
      </c>
      <c r="D664" s="408" t="str">
        <f t="shared" si="7"/>
        <v/>
      </c>
      <c r="E664" s="176" t="str">
        <f t="shared" si="8"/>
        <v/>
      </c>
      <c r="F664" s="408" t="str">
        <f t="shared" si="11"/>
        <v/>
      </c>
      <c r="G664" s="408" t="str">
        <f t="shared" si="12"/>
        <v/>
      </c>
      <c r="H664" s="410">
        <f>IF(K664&gt;='Pro Forma Detail'!D$66,'Pro Forma Detail'!D$67,'Debt ReFi'!$B$5)</f>
        <v>0.0275</v>
      </c>
      <c r="I664" s="1" t="str">
        <f t="shared" si="1"/>
        <v/>
      </c>
      <c r="J664" s="406">
        <f t="shared" si="13"/>
        <v>65501</v>
      </c>
      <c r="K664" s="105">
        <f t="shared" si="9"/>
        <v>59</v>
      </c>
      <c r="L664" s="411" t="str">
        <f t="shared" si="10"/>
        <v/>
      </c>
      <c r="M664" s="407" t="str">
        <f t="shared" si="2"/>
        <v/>
      </c>
      <c r="N664" s="407">
        <f t="shared" si="3"/>
        <v>0</v>
      </c>
      <c r="O664" s="407" t="str">
        <f t="shared" si="4"/>
        <v/>
      </c>
      <c r="P664" s="1"/>
    </row>
    <row r="665" ht="12.75" customHeight="1">
      <c r="A665" s="1">
        <v>654.0</v>
      </c>
      <c r="B665" s="408" t="str">
        <f t="shared" si="5"/>
        <v/>
      </c>
      <c r="C665" s="408">
        <f t="shared" si="6"/>
        <v>0</v>
      </c>
      <c r="D665" s="408" t="str">
        <f t="shared" si="7"/>
        <v/>
      </c>
      <c r="E665" s="176" t="str">
        <f t="shared" si="8"/>
        <v/>
      </c>
      <c r="F665" s="408" t="str">
        <f t="shared" si="11"/>
        <v/>
      </c>
      <c r="G665" s="408" t="str">
        <f t="shared" si="12"/>
        <v/>
      </c>
      <c r="H665" s="410">
        <f>IF(K665&gt;='Pro Forma Detail'!D$66,'Pro Forma Detail'!D$67,'Debt ReFi'!$B$5)</f>
        <v>0.0275</v>
      </c>
      <c r="I665" s="1" t="str">
        <f t="shared" si="1"/>
        <v/>
      </c>
      <c r="J665" s="406">
        <f t="shared" si="13"/>
        <v>65532</v>
      </c>
      <c r="K665" s="105">
        <f t="shared" si="9"/>
        <v>59</v>
      </c>
      <c r="L665" s="411" t="str">
        <f t="shared" si="10"/>
        <v/>
      </c>
      <c r="M665" s="407" t="str">
        <f t="shared" si="2"/>
        <v/>
      </c>
      <c r="N665" s="407">
        <f t="shared" si="3"/>
        <v>0</v>
      </c>
      <c r="O665" s="407" t="str">
        <f t="shared" si="4"/>
        <v/>
      </c>
      <c r="P665" s="1"/>
    </row>
    <row r="666" ht="12.75" customHeight="1">
      <c r="A666" s="1">
        <v>655.0</v>
      </c>
      <c r="B666" s="408" t="str">
        <f t="shared" si="5"/>
        <v/>
      </c>
      <c r="C666" s="408">
        <f t="shared" si="6"/>
        <v>0</v>
      </c>
      <c r="D666" s="408" t="str">
        <f t="shared" si="7"/>
        <v/>
      </c>
      <c r="E666" s="176" t="str">
        <f t="shared" si="8"/>
        <v/>
      </c>
      <c r="F666" s="408" t="str">
        <f t="shared" si="11"/>
        <v/>
      </c>
      <c r="G666" s="408" t="str">
        <f t="shared" si="12"/>
        <v/>
      </c>
      <c r="H666" s="410">
        <f>IF(K666&gt;='Pro Forma Detail'!D$66,'Pro Forma Detail'!D$67,'Debt ReFi'!$B$5)</f>
        <v>0.0275</v>
      </c>
      <c r="I666" s="1" t="str">
        <f t="shared" si="1"/>
        <v/>
      </c>
      <c r="J666" s="406">
        <f t="shared" si="13"/>
        <v>65562</v>
      </c>
      <c r="K666" s="105">
        <f t="shared" si="9"/>
        <v>59</v>
      </c>
      <c r="L666" s="411" t="str">
        <f t="shared" si="10"/>
        <v/>
      </c>
      <c r="M666" s="407" t="str">
        <f t="shared" si="2"/>
        <v/>
      </c>
      <c r="N666" s="407">
        <f t="shared" si="3"/>
        <v>0</v>
      </c>
      <c r="O666" s="407" t="str">
        <f t="shared" si="4"/>
        <v/>
      </c>
      <c r="P666" s="1"/>
    </row>
    <row r="667" ht="12.75" customHeight="1">
      <c r="A667" s="1">
        <v>656.0</v>
      </c>
      <c r="B667" s="408" t="str">
        <f t="shared" si="5"/>
        <v/>
      </c>
      <c r="C667" s="408">
        <f t="shared" si="6"/>
        <v>0</v>
      </c>
      <c r="D667" s="408" t="str">
        <f t="shared" si="7"/>
        <v/>
      </c>
      <c r="E667" s="176" t="str">
        <f t="shared" si="8"/>
        <v/>
      </c>
      <c r="F667" s="408" t="str">
        <f t="shared" si="11"/>
        <v/>
      </c>
      <c r="G667" s="408" t="str">
        <f t="shared" si="12"/>
        <v/>
      </c>
      <c r="H667" s="410">
        <f>IF(K667&gt;='Pro Forma Detail'!D$66,'Pro Forma Detail'!D$67,'Debt ReFi'!$B$5)</f>
        <v>0.0275</v>
      </c>
      <c r="I667" s="1" t="str">
        <f t="shared" si="1"/>
        <v/>
      </c>
      <c r="J667" s="406">
        <f t="shared" si="13"/>
        <v>65593</v>
      </c>
      <c r="K667" s="105">
        <f t="shared" si="9"/>
        <v>59</v>
      </c>
      <c r="L667" s="411" t="str">
        <f t="shared" si="10"/>
        <v/>
      </c>
      <c r="M667" s="407" t="str">
        <f t="shared" si="2"/>
        <v/>
      </c>
      <c r="N667" s="407">
        <f t="shared" si="3"/>
        <v>0</v>
      </c>
      <c r="O667" s="407" t="str">
        <f t="shared" si="4"/>
        <v/>
      </c>
      <c r="P667" s="1"/>
    </row>
    <row r="668" ht="12.75" customHeight="1">
      <c r="A668" s="1">
        <v>657.0</v>
      </c>
      <c r="B668" s="408" t="str">
        <f t="shared" si="5"/>
        <v/>
      </c>
      <c r="C668" s="408">
        <f t="shared" si="6"/>
        <v>0</v>
      </c>
      <c r="D668" s="408" t="str">
        <f t="shared" si="7"/>
        <v/>
      </c>
      <c r="E668" s="176" t="str">
        <f t="shared" si="8"/>
        <v/>
      </c>
      <c r="F668" s="408" t="str">
        <f t="shared" si="11"/>
        <v/>
      </c>
      <c r="G668" s="408" t="str">
        <f t="shared" si="12"/>
        <v/>
      </c>
      <c r="H668" s="410">
        <f>IF(K668&gt;='Pro Forma Detail'!D$66,'Pro Forma Detail'!D$67,'Debt ReFi'!$B$5)</f>
        <v>0.0275</v>
      </c>
      <c r="I668" s="1" t="str">
        <f t="shared" si="1"/>
        <v/>
      </c>
      <c r="J668" s="406">
        <f t="shared" si="13"/>
        <v>65624</v>
      </c>
      <c r="K668" s="105">
        <f t="shared" si="9"/>
        <v>59</v>
      </c>
      <c r="L668" s="411" t="str">
        <f t="shared" si="10"/>
        <v/>
      </c>
      <c r="M668" s="407" t="str">
        <f t="shared" si="2"/>
        <v/>
      </c>
      <c r="N668" s="407">
        <f t="shared" si="3"/>
        <v>0</v>
      </c>
      <c r="O668" s="407" t="str">
        <f t="shared" si="4"/>
        <v/>
      </c>
      <c r="P668" s="1"/>
    </row>
    <row r="669" ht="12.75" customHeight="1">
      <c r="A669" s="1">
        <v>658.0</v>
      </c>
      <c r="B669" s="408" t="str">
        <f t="shared" si="5"/>
        <v/>
      </c>
      <c r="C669" s="408">
        <f t="shared" si="6"/>
        <v>0</v>
      </c>
      <c r="D669" s="408" t="str">
        <f t="shared" si="7"/>
        <v/>
      </c>
      <c r="E669" s="176" t="str">
        <f t="shared" si="8"/>
        <v/>
      </c>
      <c r="F669" s="408" t="str">
        <f t="shared" si="11"/>
        <v/>
      </c>
      <c r="G669" s="408" t="str">
        <f t="shared" si="12"/>
        <v/>
      </c>
      <c r="H669" s="410">
        <f>IF(K669&gt;='Pro Forma Detail'!D$66,'Pro Forma Detail'!D$67,'Debt ReFi'!$B$5)</f>
        <v>0.0275</v>
      </c>
      <c r="I669" s="1" t="str">
        <f t="shared" si="1"/>
        <v/>
      </c>
      <c r="J669" s="406">
        <f t="shared" si="13"/>
        <v>65654</v>
      </c>
      <c r="K669" s="105">
        <f t="shared" si="9"/>
        <v>59</v>
      </c>
      <c r="L669" s="411" t="str">
        <f t="shared" si="10"/>
        <v/>
      </c>
      <c r="M669" s="407" t="str">
        <f t="shared" si="2"/>
        <v/>
      </c>
      <c r="N669" s="407">
        <f t="shared" si="3"/>
        <v>0</v>
      </c>
      <c r="O669" s="407" t="str">
        <f t="shared" si="4"/>
        <v/>
      </c>
      <c r="P669" s="1"/>
    </row>
    <row r="670" ht="12.75" customHeight="1">
      <c r="A670" s="1">
        <v>659.0</v>
      </c>
      <c r="B670" s="408" t="str">
        <f t="shared" si="5"/>
        <v/>
      </c>
      <c r="C670" s="408">
        <f t="shared" si="6"/>
        <v>0</v>
      </c>
      <c r="D670" s="408" t="str">
        <f t="shared" si="7"/>
        <v/>
      </c>
      <c r="E670" s="176" t="str">
        <f t="shared" si="8"/>
        <v/>
      </c>
      <c r="F670" s="408" t="str">
        <f t="shared" si="11"/>
        <v/>
      </c>
      <c r="G670" s="408" t="str">
        <f t="shared" si="12"/>
        <v/>
      </c>
      <c r="H670" s="410">
        <f>IF(K670&gt;='Pro Forma Detail'!D$66,'Pro Forma Detail'!D$67,'Debt ReFi'!$B$5)</f>
        <v>0.0275</v>
      </c>
      <c r="I670" s="1" t="str">
        <f t="shared" si="1"/>
        <v/>
      </c>
      <c r="J670" s="406">
        <f t="shared" si="13"/>
        <v>65685</v>
      </c>
      <c r="K670" s="105">
        <f t="shared" si="9"/>
        <v>59</v>
      </c>
      <c r="L670" s="411" t="str">
        <f t="shared" si="10"/>
        <v/>
      </c>
      <c r="M670" s="407" t="str">
        <f t="shared" si="2"/>
        <v/>
      </c>
      <c r="N670" s="407">
        <f t="shared" si="3"/>
        <v>0</v>
      </c>
      <c r="O670" s="407" t="str">
        <f t="shared" si="4"/>
        <v/>
      </c>
      <c r="P670" s="1"/>
    </row>
    <row r="671" ht="12.75" customHeight="1">
      <c r="A671" s="1">
        <v>660.0</v>
      </c>
      <c r="B671" s="408" t="str">
        <f t="shared" si="5"/>
        <v/>
      </c>
      <c r="C671" s="408">
        <f t="shared" si="6"/>
        <v>0</v>
      </c>
      <c r="D671" s="408" t="str">
        <f t="shared" si="7"/>
        <v/>
      </c>
      <c r="E671" s="176" t="str">
        <f t="shared" si="8"/>
        <v/>
      </c>
      <c r="F671" s="408" t="str">
        <f t="shared" si="11"/>
        <v/>
      </c>
      <c r="G671" s="408" t="str">
        <f t="shared" si="12"/>
        <v/>
      </c>
      <c r="H671" s="410">
        <f>IF(K671&gt;='Pro Forma Detail'!D$66,'Pro Forma Detail'!D$67,'Debt ReFi'!$B$5)</f>
        <v>0.0275</v>
      </c>
      <c r="I671" s="1" t="str">
        <f t="shared" si="1"/>
        <v/>
      </c>
      <c r="J671" s="406">
        <f t="shared" si="13"/>
        <v>65715</v>
      </c>
      <c r="K671" s="105">
        <f t="shared" si="9"/>
        <v>59</v>
      </c>
      <c r="L671" s="411" t="str">
        <f t="shared" si="10"/>
        <v/>
      </c>
      <c r="M671" s="407" t="str">
        <f t="shared" si="2"/>
        <v/>
      </c>
      <c r="N671" s="407">
        <f t="shared" si="3"/>
        <v>0</v>
      </c>
      <c r="O671" s="407" t="str">
        <f t="shared" si="4"/>
        <v/>
      </c>
      <c r="P671" s="1"/>
    </row>
    <row r="672" ht="12.75" customHeight="1">
      <c r="A672" s="1">
        <v>661.0</v>
      </c>
      <c r="B672" s="408" t="str">
        <f t="shared" si="5"/>
        <v/>
      </c>
      <c r="C672" s="408">
        <f t="shared" si="6"/>
        <v>0</v>
      </c>
      <c r="D672" s="408" t="str">
        <f t="shared" si="7"/>
        <v/>
      </c>
      <c r="E672" s="176" t="str">
        <f t="shared" si="8"/>
        <v/>
      </c>
      <c r="F672" s="408" t="str">
        <f t="shared" si="11"/>
        <v/>
      </c>
      <c r="G672" s="408" t="str">
        <f t="shared" si="12"/>
        <v/>
      </c>
      <c r="H672" s="410">
        <f>IF(K672&gt;='Pro Forma Detail'!D$66,'Pro Forma Detail'!D$67,'Debt ReFi'!$B$5)</f>
        <v>0.0275</v>
      </c>
      <c r="I672" s="1" t="str">
        <f t="shared" si="1"/>
        <v/>
      </c>
      <c r="J672" s="406">
        <f t="shared" si="13"/>
        <v>65746</v>
      </c>
      <c r="K672" s="105">
        <f t="shared" si="9"/>
        <v>60</v>
      </c>
      <c r="L672" s="411" t="str">
        <f t="shared" si="10"/>
        <v/>
      </c>
      <c r="M672" s="407" t="str">
        <f t="shared" si="2"/>
        <v/>
      </c>
      <c r="N672" s="407">
        <f t="shared" si="3"/>
        <v>0</v>
      </c>
      <c r="O672" s="407" t="str">
        <f t="shared" si="4"/>
        <v/>
      </c>
      <c r="P672" s="1"/>
    </row>
    <row r="673" ht="12.75" customHeight="1">
      <c r="A673" s="1">
        <v>662.0</v>
      </c>
      <c r="B673" s="408" t="str">
        <f t="shared" si="5"/>
        <v/>
      </c>
      <c r="C673" s="408">
        <f t="shared" si="6"/>
        <v>0</v>
      </c>
      <c r="D673" s="408" t="str">
        <f t="shared" si="7"/>
        <v/>
      </c>
      <c r="E673" s="176" t="str">
        <f t="shared" si="8"/>
        <v/>
      </c>
      <c r="F673" s="408" t="str">
        <f t="shared" si="11"/>
        <v/>
      </c>
      <c r="G673" s="408" t="str">
        <f t="shared" si="12"/>
        <v/>
      </c>
      <c r="H673" s="410">
        <f>IF(K673&gt;='Pro Forma Detail'!D$66,'Pro Forma Detail'!D$67,'Debt ReFi'!$B$5)</f>
        <v>0.0275</v>
      </c>
      <c r="I673" s="1" t="str">
        <f t="shared" si="1"/>
        <v/>
      </c>
      <c r="J673" s="406">
        <f t="shared" si="13"/>
        <v>65777</v>
      </c>
      <c r="K673" s="105">
        <f t="shared" si="9"/>
        <v>60</v>
      </c>
      <c r="L673" s="411" t="str">
        <f t="shared" si="10"/>
        <v/>
      </c>
      <c r="M673" s="407" t="str">
        <f t="shared" si="2"/>
        <v/>
      </c>
      <c r="N673" s="407">
        <f t="shared" si="3"/>
        <v>0</v>
      </c>
      <c r="O673" s="407" t="str">
        <f t="shared" si="4"/>
        <v/>
      </c>
      <c r="P673" s="1"/>
    </row>
    <row r="674" ht="12.75" customHeight="1">
      <c r="A674" s="1">
        <v>663.0</v>
      </c>
      <c r="B674" s="408" t="str">
        <f t="shared" si="5"/>
        <v/>
      </c>
      <c r="C674" s="408">
        <f t="shared" si="6"/>
        <v>0</v>
      </c>
      <c r="D674" s="408" t="str">
        <f t="shared" si="7"/>
        <v/>
      </c>
      <c r="E674" s="176" t="str">
        <f t="shared" si="8"/>
        <v/>
      </c>
      <c r="F674" s="408" t="str">
        <f t="shared" si="11"/>
        <v/>
      </c>
      <c r="G674" s="408" t="str">
        <f t="shared" si="12"/>
        <v/>
      </c>
      <c r="H674" s="410">
        <f>IF(K674&gt;='Pro Forma Detail'!D$66,'Pro Forma Detail'!D$67,'Debt ReFi'!$B$5)</f>
        <v>0.0275</v>
      </c>
      <c r="I674" s="1" t="str">
        <f t="shared" si="1"/>
        <v/>
      </c>
      <c r="J674" s="406">
        <f t="shared" si="13"/>
        <v>65806</v>
      </c>
      <c r="K674" s="105">
        <f t="shared" si="9"/>
        <v>60</v>
      </c>
      <c r="L674" s="411" t="str">
        <f t="shared" si="10"/>
        <v/>
      </c>
      <c r="M674" s="407" t="str">
        <f t="shared" si="2"/>
        <v/>
      </c>
      <c r="N674" s="407">
        <f t="shared" si="3"/>
        <v>0</v>
      </c>
      <c r="O674" s="407" t="str">
        <f t="shared" si="4"/>
        <v/>
      </c>
      <c r="P674" s="1"/>
    </row>
    <row r="675" ht="12.75" customHeight="1">
      <c r="A675" s="1">
        <v>664.0</v>
      </c>
      <c r="B675" s="408" t="str">
        <f t="shared" si="5"/>
        <v/>
      </c>
      <c r="C675" s="408">
        <f t="shared" si="6"/>
        <v>0</v>
      </c>
      <c r="D675" s="408" t="str">
        <f t="shared" si="7"/>
        <v/>
      </c>
      <c r="E675" s="176" t="str">
        <f t="shared" si="8"/>
        <v/>
      </c>
      <c r="F675" s="408" t="str">
        <f t="shared" si="11"/>
        <v/>
      </c>
      <c r="G675" s="408" t="str">
        <f t="shared" si="12"/>
        <v/>
      </c>
      <c r="H675" s="410">
        <f>IF(K675&gt;='Pro Forma Detail'!D$66,'Pro Forma Detail'!D$67,'Debt ReFi'!$B$5)</f>
        <v>0.0275</v>
      </c>
      <c r="I675" s="1" t="str">
        <f t="shared" si="1"/>
        <v/>
      </c>
      <c r="J675" s="406">
        <f t="shared" si="13"/>
        <v>65837</v>
      </c>
      <c r="K675" s="105">
        <f t="shared" si="9"/>
        <v>60</v>
      </c>
      <c r="L675" s="411" t="str">
        <f t="shared" si="10"/>
        <v/>
      </c>
      <c r="M675" s="407" t="str">
        <f t="shared" si="2"/>
        <v/>
      </c>
      <c r="N675" s="407">
        <f t="shared" si="3"/>
        <v>0</v>
      </c>
      <c r="O675" s="407" t="str">
        <f t="shared" si="4"/>
        <v/>
      </c>
      <c r="P675" s="1"/>
    </row>
    <row r="676" ht="12.75" customHeight="1">
      <c r="A676" s="1">
        <v>665.0</v>
      </c>
      <c r="B676" s="408" t="str">
        <f t="shared" si="5"/>
        <v/>
      </c>
      <c r="C676" s="408">
        <f t="shared" si="6"/>
        <v>0</v>
      </c>
      <c r="D676" s="408" t="str">
        <f t="shared" si="7"/>
        <v/>
      </c>
      <c r="E676" s="176" t="str">
        <f t="shared" si="8"/>
        <v/>
      </c>
      <c r="F676" s="408" t="str">
        <f t="shared" si="11"/>
        <v/>
      </c>
      <c r="G676" s="408" t="str">
        <f t="shared" si="12"/>
        <v/>
      </c>
      <c r="H676" s="410">
        <f>IF(K676&gt;='Pro Forma Detail'!D$66,'Pro Forma Detail'!D$67,'Debt ReFi'!$B$5)</f>
        <v>0.0275</v>
      </c>
      <c r="I676" s="1" t="str">
        <f t="shared" si="1"/>
        <v/>
      </c>
      <c r="J676" s="406">
        <f t="shared" si="13"/>
        <v>65867</v>
      </c>
      <c r="K676" s="105">
        <f t="shared" si="9"/>
        <v>60</v>
      </c>
      <c r="L676" s="411" t="str">
        <f t="shared" si="10"/>
        <v/>
      </c>
      <c r="M676" s="407" t="str">
        <f t="shared" si="2"/>
        <v/>
      </c>
      <c r="N676" s="407">
        <f t="shared" si="3"/>
        <v>0</v>
      </c>
      <c r="O676" s="407" t="str">
        <f t="shared" si="4"/>
        <v/>
      </c>
      <c r="P676" s="1"/>
    </row>
    <row r="677" ht="12.75" customHeight="1">
      <c r="A677" s="1">
        <v>666.0</v>
      </c>
      <c r="B677" s="408" t="str">
        <f t="shared" si="5"/>
        <v/>
      </c>
      <c r="C677" s="408">
        <f t="shared" si="6"/>
        <v>0</v>
      </c>
      <c r="D677" s="408" t="str">
        <f t="shared" si="7"/>
        <v/>
      </c>
      <c r="E677" s="176" t="str">
        <f t="shared" si="8"/>
        <v/>
      </c>
      <c r="F677" s="408" t="str">
        <f t="shared" si="11"/>
        <v/>
      </c>
      <c r="G677" s="408" t="str">
        <f t="shared" si="12"/>
        <v/>
      </c>
      <c r="H677" s="410">
        <f>IF(K677&gt;='Pro Forma Detail'!D$66,'Pro Forma Detail'!D$67,'Debt ReFi'!$B$5)</f>
        <v>0.0275</v>
      </c>
      <c r="I677" s="1" t="str">
        <f t="shared" si="1"/>
        <v/>
      </c>
      <c r="J677" s="406">
        <f t="shared" si="13"/>
        <v>65898</v>
      </c>
      <c r="K677" s="105">
        <f t="shared" si="9"/>
        <v>60</v>
      </c>
      <c r="L677" s="411" t="str">
        <f t="shared" si="10"/>
        <v/>
      </c>
      <c r="M677" s="407" t="str">
        <f t="shared" si="2"/>
        <v/>
      </c>
      <c r="N677" s="407">
        <f t="shared" si="3"/>
        <v>0</v>
      </c>
      <c r="O677" s="407" t="str">
        <f t="shared" si="4"/>
        <v/>
      </c>
      <c r="P677" s="1"/>
    </row>
    <row r="678" ht="12.75" customHeight="1">
      <c r="A678" s="1">
        <v>667.0</v>
      </c>
      <c r="B678" s="408" t="str">
        <f t="shared" si="5"/>
        <v/>
      </c>
      <c r="C678" s="408">
        <f t="shared" si="6"/>
        <v>0</v>
      </c>
      <c r="D678" s="408" t="str">
        <f t="shared" si="7"/>
        <v/>
      </c>
      <c r="E678" s="176" t="str">
        <f t="shared" si="8"/>
        <v/>
      </c>
      <c r="F678" s="408" t="str">
        <f t="shared" si="11"/>
        <v/>
      </c>
      <c r="G678" s="408" t="str">
        <f t="shared" si="12"/>
        <v/>
      </c>
      <c r="H678" s="410">
        <f>IF(K678&gt;='Pro Forma Detail'!D$66,'Pro Forma Detail'!D$67,'Debt ReFi'!$B$5)</f>
        <v>0.0275</v>
      </c>
      <c r="I678" s="1" t="str">
        <f t="shared" si="1"/>
        <v/>
      </c>
      <c r="J678" s="406">
        <f t="shared" si="13"/>
        <v>65928</v>
      </c>
      <c r="K678" s="105">
        <f t="shared" si="9"/>
        <v>60</v>
      </c>
      <c r="L678" s="411" t="str">
        <f t="shared" si="10"/>
        <v/>
      </c>
      <c r="M678" s="407" t="str">
        <f t="shared" si="2"/>
        <v/>
      </c>
      <c r="N678" s="407">
        <f t="shared" si="3"/>
        <v>0</v>
      </c>
      <c r="O678" s="407" t="str">
        <f t="shared" si="4"/>
        <v/>
      </c>
      <c r="P678" s="1"/>
    </row>
    <row r="679" ht="12.75" customHeight="1">
      <c r="A679" s="1">
        <v>668.0</v>
      </c>
      <c r="B679" s="408" t="str">
        <f t="shared" si="5"/>
        <v/>
      </c>
      <c r="C679" s="408">
        <f t="shared" si="6"/>
        <v>0</v>
      </c>
      <c r="D679" s="408" t="str">
        <f t="shared" si="7"/>
        <v/>
      </c>
      <c r="E679" s="176" t="str">
        <f t="shared" si="8"/>
        <v/>
      </c>
      <c r="F679" s="408" t="str">
        <f t="shared" si="11"/>
        <v/>
      </c>
      <c r="G679" s="408" t="str">
        <f t="shared" si="12"/>
        <v/>
      </c>
      <c r="H679" s="410">
        <f>IF(K679&gt;='Pro Forma Detail'!D$66,'Pro Forma Detail'!D$67,'Debt ReFi'!$B$5)</f>
        <v>0.0275</v>
      </c>
      <c r="I679" s="1" t="str">
        <f t="shared" si="1"/>
        <v/>
      </c>
      <c r="J679" s="406">
        <f t="shared" si="13"/>
        <v>65959</v>
      </c>
      <c r="K679" s="105">
        <f t="shared" si="9"/>
        <v>60</v>
      </c>
      <c r="L679" s="411" t="str">
        <f t="shared" si="10"/>
        <v/>
      </c>
      <c r="M679" s="407" t="str">
        <f t="shared" si="2"/>
        <v/>
      </c>
      <c r="N679" s="407">
        <f t="shared" si="3"/>
        <v>0</v>
      </c>
      <c r="O679" s="407" t="str">
        <f t="shared" si="4"/>
        <v/>
      </c>
      <c r="P679" s="1"/>
    </row>
    <row r="680" ht="12.75" customHeight="1">
      <c r="A680" s="1">
        <v>669.0</v>
      </c>
      <c r="B680" s="408" t="str">
        <f t="shared" si="5"/>
        <v/>
      </c>
      <c r="C680" s="408">
        <f t="shared" si="6"/>
        <v>0</v>
      </c>
      <c r="D680" s="408" t="str">
        <f t="shared" si="7"/>
        <v/>
      </c>
      <c r="E680" s="176" t="str">
        <f t="shared" si="8"/>
        <v/>
      </c>
      <c r="F680" s="408" t="str">
        <f t="shared" si="11"/>
        <v/>
      </c>
      <c r="G680" s="408" t="str">
        <f t="shared" si="12"/>
        <v/>
      </c>
      <c r="H680" s="410">
        <f>IF(K680&gt;='Pro Forma Detail'!D$66,'Pro Forma Detail'!D$67,'Debt ReFi'!$B$5)</f>
        <v>0.0275</v>
      </c>
      <c r="I680" s="1" t="str">
        <f t="shared" si="1"/>
        <v/>
      </c>
      <c r="J680" s="406">
        <f t="shared" si="13"/>
        <v>65990</v>
      </c>
      <c r="K680" s="105">
        <f t="shared" si="9"/>
        <v>60</v>
      </c>
      <c r="L680" s="411" t="str">
        <f t="shared" si="10"/>
        <v/>
      </c>
      <c r="M680" s="407" t="str">
        <f t="shared" si="2"/>
        <v/>
      </c>
      <c r="N680" s="407">
        <f t="shared" si="3"/>
        <v>0</v>
      </c>
      <c r="O680" s="407" t="str">
        <f t="shared" si="4"/>
        <v/>
      </c>
      <c r="P680" s="1"/>
    </row>
    <row r="681" ht="12.75" customHeight="1">
      <c r="A681" s="1">
        <v>670.0</v>
      </c>
      <c r="B681" s="408" t="str">
        <f t="shared" si="5"/>
        <v/>
      </c>
      <c r="C681" s="408">
        <f t="shared" si="6"/>
        <v>0</v>
      </c>
      <c r="D681" s="408" t="str">
        <f t="shared" si="7"/>
        <v/>
      </c>
      <c r="E681" s="176" t="str">
        <f t="shared" si="8"/>
        <v/>
      </c>
      <c r="F681" s="408" t="str">
        <f t="shared" si="11"/>
        <v/>
      </c>
      <c r="G681" s="408" t="str">
        <f t="shared" si="12"/>
        <v/>
      </c>
      <c r="H681" s="410">
        <f>IF(K681&gt;='Pro Forma Detail'!D$66,'Pro Forma Detail'!D$67,'Debt ReFi'!$B$5)</f>
        <v>0.0275</v>
      </c>
      <c r="I681" s="1" t="str">
        <f t="shared" si="1"/>
        <v/>
      </c>
      <c r="J681" s="406">
        <f t="shared" si="13"/>
        <v>66020</v>
      </c>
      <c r="K681" s="105">
        <f t="shared" si="9"/>
        <v>60</v>
      </c>
      <c r="L681" s="411" t="str">
        <f t="shared" si="10"/>
        <v/>
      </c>
      <c r="M681" s="407" t="str">
        <f t="shared" si="2"/>
        <v/>
      </c>
      <c r="N681" s="407">
        <f t="shared" si="3"/>
        <v>0</v>
      </c>
      <c r="O681" s="407" t="str">
        <f t="shared" si="4"/>
        <v/>
      </c>
      <c r="P681" s="1"/>
    </row>
    <row r="682" ht="12.75" customHeight="1">
      <c r="A682" s="1">
        <v>671.0</v>
      </c>
      <c r="B682" s="408" t="str">
        <f t="shared" si="5"/>
        <v/>
      </c>
      <c r="C682" s="408">
        <f t="shared" si="6"/>
        <v>0</v>
      </c>
      <c r="D682" s="408" t="str">
        <f t="shared" si="7"/>
        <v/>
      </c>
      <c r="E682" s="176" t="str">
        <f t="shared" si="8"/>
        <v/>
      </c>
      <c r="F682" s="408" t="str">
        <f t="shared" si="11"/>
        <v/>
      </c>
      <c r="G682" s="408" t="str">
        <f t="shared" si="12"/>
        <v/>
      </c>
      <c r="H682" s="410">
        <f>IF(K682&gt;='Pro Forma Detail'!D$66,'Pro Forma Detail'!D$67,'Debt ReFi'!$B$5)</f>
        <v>0.0275</v>
      </c>
      <c r="I682" s="1" t="str">
        <f t="shared" si="1"/>
        <v/>
      </c>
      <c r="J682" s="406">
        <f t="shared" si="13"/>
        <v>66051</v>
      </c>
      <c r="K682" s="105">
        <f t="shared" si="9"/>
        <v>60</v>
      </c>
      <c r="L682" s="411" t="str">
        <f t="shared" si="10"/>
        <v/>
      </c>
      <c r="M682" s="407" t="str">
        <f t="shared" si="2"/>
        <v/>
      </c>
      <c r="N682" s="407">
        <f t="shared" si="3"/>
        <v>0</v>
      </c>
      <c r="O682" s="407" t="str">
        <f t="shared" si="4"/>
        <v/>
      </c>
      <c r="P682" s="1"/>
    </row>
    <row r="683" ht="12.75" customHeight="1">
      <c r="A683" s="1">
        <v>672.0</v>
      </c>
      <c r="B683" s="408" t="str">
        <f t="shared" si="5"/>
        <v/>
      </c>
      <c r="C683" s="408">
        <f t="shared" si="6"/>
        <v>0</v>
      </c>
      <c r="D683" s="408" t="str">
        <f t="shared" si="7"/>
        <v/>
      </c>
      <c r="E683" s="176" t="str">
        <f t="shared" si="8"/>
        <v/>
      </c>
      <c r="F683" s="408" t="str">
        <f t="shared" si="11"/>
        <v/>
      </c>
      <c r="G683" s="408" t="str">
        <f t="shared" si="12"/>
        <v/>
      </c>
      <c r="H683" s="410">
        <f>IF(K683&gt;='Pro Forma Detail'!D$66,'Pro Forma Detail'!D$67,'Debt ReFi'!$B$5)</f>
        <v>0.0275</v>
      </c>
      <c r="I683" s="1" t="str">
        <f t="shared" si="1"/>
        <v/>
      </c>
      <c r="J683" s="406">
        <f t="shared" si="13"/>
        <v>66081</v>
      </c>
      <c r="K683" s="105">
        <f t="shared" si="9"/>
        <v>60</v>
      </c>
      <c r="L683" s="411" t="str">
        <f t="shared" si="10"/>
        <v/>
      </c>
      <c r="M683" s="407" t="str">
        <f t="shared" si="2"/>
        <v/>
      </c>
      <c r="N683" s="407">
        <f t="shared" si="3"/>
        <v>0</v>
      </c>
      <c r="O683" s="407" t="str">
        <f t="shared" si="4"/>
        <v/>
      </c>
      <c r="P683" s="1"/>
    </row>
    <row r="684" ht="12.75" customHeight="1">
      <c r="A684" s="1">
        <v>673.0</v>
      </c>
      <c r="B684" s="408" t="str">
        <f t="shared" si="5"/>
        <v/>
      </c>
      <c r="C684" s="408">
        <f t="shared" si="6"/>
        <v>0</v>
      </c>
      <c r="D684" s="408" t="str">
        <f t="shared" si="7"/>
        <v/>
      </c>
      <c r="E684" s="176" t="str">
        <f t="shared" si="8"/>
        <v/>
      </c>
      <c r="F684" s="408" t="str">
        <f t="shared" si="11"/>
        <v/>
      </c>
      <c r="G684" s="408" t="str">
        <f t="shared" si="12"/>
        <v/>
      </c>
      <c r="H684" s="410">
        <f>IF(K684&gt;='Pro Forma Detail'!D$66,'Pro Forma Detail'!D$67,'Debt ReFi'!$B$5)</f>
        <v>0.0275</v>
      </c>
      <c r="I684" s="1" t="str">
        <f t="shared" si="1"/>
        <v/>
      </c>
      <c r="J684" s="406">
        <f t="shared" si="13"/>
        <v>66112</v>
      </c>
      <c r="K684" s="105">
        <f t="shared" si="9"/>
        <v>61</v>
      </c>
      <c r="L684" s="411" t="str">
        <f t="shared" si="10"/>
        <v/>
      </c>
      <c r="M684" s="407" t="str">
        <f t="shared" si="2"/>
        <v/>
      </c>
      <c r="N684" s="407">
        <f t="shared" si="3"/>
        <v>0</v>
      </c>
      <c r="O684" s="407" t="str">
        <f t="shared" si="4"/>
        <v/>
      </c>
      <c r="P684" s="1"/>
    </row>
    <row r="685" ht="12.75" customHeight="1">
      <c r="A685" s="1">
        <v>674.0</v>
      </c>
      <c r="B685" s="408" t="str">
        <f t="shared" si="5"/>
        <v/>
      </c>
      <c r="C685" s="408">
        <f t="shared" si="6"/>
        <v>0</v>
      </c>
      <c r="D685" s="408" t="str">
        <f t="shared" si="7"/>
        <v/>
      </c>
      <c r="E685" s="176" t="str">
        <f t="shared" si="8"/>
        <v/>
      </c>
      <c r="F685" s="408" t="str">
        <f t="shared" si="11"/>
        <v/>
      </c>
      <c r="G685" s="408" t="str">
        <f t="shared" si="12"/>
        <v/>
      </c>
      <c r="H685" s="410">
        <f>IF(K685&gt;='Pro Forma Detail'!D$66,'Pro Forma Detail'!D$67,'Debt ReFi'!$B$5)</f>
        <v>0.0275</v>
      </c>
      <c r="I685" s="1" t="str">
        <f t="shared" si="1"/>
        <v/>
      </c>
      <c r="J685" s="406">
        <f t="shared" si="13"/>
        <v>66143</v>
      </c>
      <c r="K685" s="105">
        <f t="shared" si="9"/>
        <v>61</v>
      </c>
      <c r="L685" s="411" t="str">
        <f t="shared" si="10"/>
        <v/>
      </c>
      <c r="M685" s="407" t="str">
        <f t="shared" si="2"/>
        <v/>
      </c>
      <c r="N685" s="407">
        <f t="shared" si="3"/>
        <v>0</v>
      </c>
      <c r="O685" s="407" t="str">
        <f t="shared" si="4"/>
        <v/>
      </c>
      <c r="P685" s="1"/>
    </row>
    <row r="686" ht="12.75" customHeight="1">
      <c r="A686" s="1">
        <v>675.0</v>
      </c>
      <c r="B686" s="408" t="str">
        <f t="shared" si="5"/>
        <v/>
      </c>
      <c r="C686" s="408">
        <f t="shared" si="6"/>
        <v>0</v>
      </c>
      <c r="D686" s="408" t="str">
        <f t="shared" si="7"/>
        <v/>
      </c>
      <c r="E686" s="176" t="str">
        <f t="shared" si="8"/>
        <v/>
      </c>
      <c r="F686" s="408" t="str">
        <f t="shared" si="11"/>
        <v/>
      </c>
      <c r="G686" s="408" t="str">
        <f t="shared" si="12"/>
        <v/>
      </c>
      <c r="H686" s="410">
        <f>IF(K686&gt;='Pro Forma Detail'!D$66,'Pro Forma Detail'!D$67,'Debt ReFi'!$B$5)</f>
        <v>0.0275</v>
      </c>
      <c r="I686" s="1" t="str">
        <f t="shared" si="1"/>
        <v/>
      </c>
      <c r="J686" s="406">
        <f t="shared" si="13"/>
        <v>66171</v>
      </c>
      <c r="K686" s="105">
        <f t="shared" si="9"/>
        <v>61</v>
      </c>
      <c r="L686" s="411" t="str">
        <f t="shared" si="10"/>
        <v/>
      </c>
      <c r="M686" s="407" t="str">
        <f t="shared" si="2"/>
        <v/>
      </c>
      <c r="N686" s="407">
        <f t="shared" si="3"/>
        <v>0</v>
      </c>
      <c r="O686" s="407" t="str">
        <f t="shared" si="4"/>
        <v/>
      </c>
      <c r="P686" s="1"/>
    </row>
    <row r="687" ht="12.75" customHeight="1">
      <c r="A687" s="1">
        <v>676.0</v>
      </c>
      <c r="B687" s="408" t="str">
        <f t="shared" si="5"/>
        <v/>
      </c>
      <c r="C687" s="408">
        <f t="shared" si="6"/>
        <v>0</v>
      </c>
      <c r="D687" s="408" t="str">
        <f t="shared" si="7"/>
        <v/>
      </c>
      <c r="E687" s="176" t="str">
        <f t="shared" si="8"/>
        <v/>
      </c>
      <c r="F687" s="408" t="str">
        <f t="shared" si="11"/>
        <v/>
      </c>
      <c r="G687" s="408" t="str">
        <f t="shared" si="12"/>
        <v/>
      </c>
      <c r="H687" s="410">
        <f>IF(K687&gt;='Pro Forma Detail'!D$66,'Pro Forma Detail'!D$67,'Debt ReFi'!$B$5)</f>
        <v>0.0275</v>
      </c>
      <c r="I687" s="1" t="str">
        <f t="shared" si="1"/>
        <v/>
      </c>
      <c r="J687" s="406">
        <f t="shared" si="13"/>
        <v>66202</v>
      </c>
      <c r="K687" s="105">
        <f t="shared" si="9"/>
        <v>61</v>
      </c>
      <c r="L687" s="411" t="str">
        <f t="shared" si="10"/>
        <v/>
      </c>
      <c r="M687" s="407" t="str">
        <f t="shared" si="2"/>
        <v/>
      </c>
      <c r="N687" s="407">
        <f t="shared" si="3"/>
        <v>0</v>
      </c>
      <c r="O687" s="407" t="str">
        <f t="shared" si="4"/>
        <v/>
      </c>
      <c r="P687" s="1"/>
    </row>
    <row r="688" ht="12.75" customHeight="1">
      <c r="A688" s="1">
        <v>677.0</v>
      </c>
      <c r="B688" s="408" t="str">
        <f t="shared" si="5"/>
        <v/>
      </c>
      <c r="C688" s="408">
        <f t="shared" si="6"/>
        <v>0</v>
      </c>
      <c r="D688" s="408" t="str">
        <f t="shared" si="7"/>
        <v/>
      </c>
      <c r="E688" s="176" t="str">
        <f t="shared" si="8"/>
        <v/>
      </c>
      <c r="F688" s="408" t="str">
        <f t="shared" si="11"/>
        <v/>
      </c>
      <c r="G688" s="408" t="str">
        <f t="shared" si="12"/>
        <v/>
      </c>
      <c r="H688" s="410">
        <f>IF(K688&gt;='Pro Forma Detail'!D$66,'Pro Forma Detail'!D$67,'Debt ReFi'!$B$5)</f>
        <v>0.0275</v>
      </c>
      <c r="I688" s="1" t="str">
        <f t="shared" si="1"/>
        <v/>
      </c>
      <c r="J688" s="406">
        <f t="shared" si="13"/>
        <v>66232</v>
      </c>
      <c r="K688" s="105">
        <f t="shared" si="9"/>
        <v>61</v>
      </c>
      <c r="L688" s="411" t="str">
        <f t="shared" si="10"/>
        <v/>
      </c>
      <c r="M688" s="407" t="str">
        <f t="shared" si="2"/>
        <v/>
      </c>
      <c r="N688" s="407">
        <f t="shared" si="3"/>
        <v>0</v>
      </c>
      <c r="O688" s="407" t="str">
        <f t="shared" si="4"/>
        <v/>
      </c>
      <c r="P688" s="1"/>
    </row>
    <row r="689" ht="12.75" customHeight="1">
      <c r="A689" s="1">
        <v>678.0</v>
      </c>
      <c r="B689" s="408" t="str">
        <f t="shared" si="5"/>
        <v/>
      </c>
      <c r="C689" s="408">
        <f t="shared" si="6"/>
        <v>0</v>
      </c>
      <c r="D689" s="408" t="str">
        <f t="shared" si="7"/>
        <v/>
      </c>
      <c r="E689" s="176" t="str">
        <f t="shared" si="8"/>
        <v/>
      </c>
      <c r="F689" s="408" t="str">
        <f t="shared" si="11"/>
        <v/>
      </c>
      <c r="G689" s="408" t="str">
        <f t="shared" si="12"/>
        <v/>
      </c>
      <c r="H689" s="410">
        <f>IF(K689&gt;='Pro Forma Detail'!D$66,'Pro Forma Detail'!D$67,'Debt ReFi'!$B$5)</f>
        <v>0.0275</v>
      </c>
      <c r="I689" s="1" t="str">
        <f t="shared" si="1"/>
        <v/>
      </c>
      <c r="J689" s="406">
        <f t="shared" si="13"/>
        <v>66263</v>
      </c>
      <c r="K689" s="105">
        <f t="shared" si="9"/>
        <v>61</v>
      </c>
      <c r="L689" s="411" t="str">
        <f t="shared" si="10"/>
        <v/>
      </c>
      <c r="M689" s="407" t="str">
        <f t="shared" si="2"/>
        <v/>
      </c>
      <c r="N689" s="407">
        <f t="shared" si="3"/>
        <v>0</v>
      </c>
      <c r="O689" s="407" t="str">
        <f t="shared" si="4"/>
        <v/>
      </c>
      <c r="P689" s="1"/>
    </row>
    <row r="690" ht="12.75" customHeight="1">
      <c r="A690" s="1">
        <v>679.0</v>
      </c>
      <c r="B690" s="408" t="str">
        <f t="shared" si="5"/>
        <v/>
      </c>
      <c r="C690" s="408">
        <f t="shared" si="6"/>
        <v>0</v>
      </c>
      <c r="D690" s="408" t="str">
        <f t="shared" si="7"/>
        <v/>
      </c>
      <c r="E690" s="176" t="str">
        <f t="shared" si="8"/>
        <v/>
      </c>
      <c r="F690" s="408" t="str">
        <f t="shared" si="11"/>
        <v/>
      </c>
      <c r="G690" s="408" t="str">
        <f t="shared" si="12"/>
        <v/>
      </c>
      <c r="H690" s="410">
        <f>IF(K690&gt;='Pro Forma Detail'!D$66,'Pro Forma Detail'!D$67,'Debt ReFi'!$B$5)</f>
        <v>0.0275</v>
      </c>
      <c r="I690" s="1" t="str">
        <f t="shared" si="1"/>
        <v/>
      </c>
      <c r="J690" s="406">
        <f t="shared" si="13"/>
        <v>66293</v>
      </c>
      <c r="K690" s="105">
        <f t="shared" si="9"/>
        <v>61</v>
      </c>
      <c r="L690" s="411" t="str">
        <f t="shared" si="10"/>
        <v/>
      </c>
      <c r="M690" s="407" t="str">
        <f t="shared" si="2"/>
        <v/>
      </c>
      <c r="N690" s="407">
        <f t="shared" si="3"/>
        <v>0</v>
      </c>
      <c r="O690" s="407" t="str">
        <f t="shared" si="4"/>
        <v/>
      </c>
      <c r="P690" s="1"/>
    </row>
    <row r="691" ht="12.75" customHeight="1">
      <c r="A691" s="1">
        <v>680.0</v>
      </c>
      <c r="B691" s="408" t="str">
        <f t="shared" si="5"/>
        <v/>
      </c>
      <c r="C691" s="408">
        <f t="shared" si="6"/>
        <v>0</v>
      </c>
      <c r="D691" s="408" t="str">
        <f t="shared" si="7"/>
        <v/>
      </c>
      <c r="E691" s="176" t="str">
        <f t="shared" si="8"/>
        <v/>
      </c>
      <c r="F691" s="408" t="str">
        <f t="shared" si="11"/>
        <v/>
      </c>
      <c r="G691" s="408" t="str">
        <f t="shared" si="12"/>
        <v/>
      </c>
      <c r="H691" s="410">
        <f>IF(K691&gt;='Pro Forma Detail'!D$66,'Pro Forma Detail'!D$67,'Debt ReFi'!$B$5)</f>
        <v>0.0275</v>
      </c>
      <c r="I691" s="1" t="str">
        <f t="shared" si="1"/>
        <v/>
      </c>
      <c r="J691" s="406">
        <f t="shared" si="13"/>
        <v>66324</v>
      </c>
      <c r="K691" s="105">
        <f t="shared" si="9"/>
        <v>61</v>
      </c>
      <c r="L691" s="411" t="str">
        <f t="shared" si="10"/>
        <v/>
      </c>
      <c r="M691" s="407" t="str">
        <f t="shared" si="2"/>
        <v/>
      </c>
      <c r="N691" s="407">
        <f t="shared" si="3"/>
        <v>0</v>
      </c>
      <c r="O691" s="407" t="str">
        <f t="shared" si="4"/>
        <v/>
      </c>
      <c r="P691" s="1"/>
    </row>
    <row r="692" ht="12.75" customHeight="1">
      <c r="A692" s="1">
        <v>681.0</v>
      </c>
      <c r="B692" s="408" t="str">
        <f t="shared" si="5"/>
        <v/>
      </c>
      <c r="C692" s="408">
        <f t="shared" si="6"/>
        <v>0</v>
      </c>
      <c r="D692" s="408" t="str">
        <f t="shared" si="7"/>
        <v/>
      </c>
      <c r="E692" s="176" t="str">
        <f t="shared" si="8"/>
        <v/>
      </c>
      <c r="F692" s="408" t="str">
        <f t="shared" si="11"/>
        <v/>
      </c>
      <c r="G692" s="408" t="str">
        <f t="shared" si="12"/>
        <v/>
      </c>
      <c r="H692" s="410">
        <f>IF(K692&gt;='Pro Forma Detail'!D$66,'Pro Forma Detail'!D$67,'Debt ReFi'!$B$5)</f>
        <v>0.0275</v>
      </c>
      <c r="I692" s="1" t="str">
        <f t="shared" si="1"/>
        <v/>
      </c>
      <c r="J692" s="406">
        <f t="shared" si="13"/>
        <v>66355</v>
      </c>
      <c r="K692" s="105">
        <f t="shared" si="9"/>
        <v>61</v>
      </c>
      <c r="L692" s="411" t="str">
        <f t="shared" si="10"/>
        <v/>
      </c>
      <c r="M692" s="407" t="str">
        <f t="shared" si="2"/>
        <v/>
      </c>
      <c r="N692" s="407">
        <f t="shared" si="3"/>
        <v>0</v>
      </c>
      <c r="O692" s="407" t="str">
        <f t="shared" si="4"/>
        <v/>
      </c>
      <c r="P692" s="1"/>
    </row>
    <row r="693" ht="12.75" customHeight="1">
      <c r="A693" s="1">
        <v>682.0</v>
      </c>
      <c r="B693" s="408" t="str">
        <f t="shared" si="5"/>
        <v/>
      </c>
      <c r="C693" s="408">
        <f t="shared" si="6"/>
        <v>0</v>
      </c>
      <c r="D693" s="408" t="str">
        <f t="shared" si="7"/>
        <v/>
      </c>
      <c r="E693" s="176" t="str">
        <f t="shared" si="8"/>
        <v/>
      </c>
      <c r="F693" s="408" t="str">
        <f t="shared" si="11"/>
        <v/>
      </c>
      <c r="G693" s="408" t="str">
        <f t="shared" si="12"/>
        <v/>
      </c>
      <c r="H693" s="410">
        <f>IF(K693&gt;='Pro Forma Detail'!D$66,'Pro Forma Detail'!D$67,'Debt ReFi'!$B$5)</f>
        <v>0.0275</v>
      </c>
      <c r="I693" s="1" t="str">
        <f t="shared" si="1"/>
        <v/>
      </c>
      <c r="J693" s="406">
        <f t="shared" si="13"/>
        <v>66385</v>
      </c>
      <c r="K693" s="105">
        <f t="shared" si="9"/>
        <v>61</v>
      </c>
      <c r="L693" s="411" t="str">
        <f t="shared" si="10"/>
        <v/>
      </c>
      <c r="M693" s="407" t="str">
        <f t="shared" si="2"/>
        <v/>
      </c>
      <c r="N693" s="407">
        <f t="shared" si="3"/>
        <v>0</v>
      </c>
      <c r="O693" s="407" t="str">
        <f t="shared" si="4"/>
        <v/>
      </c>
      <c r="P693" s="1"/>
    </row>
    <row r="694" ht="12.75" customHeight="1">
      <c r="A694" s="1">
        <v>683.0</v>
      </c>
      <c r="B694" s="408" t="str">
        <f t="shared" si="5"/>
        <v/>
      </c>
      <c r="C694" s="408">
        <f t="shared" si="6"/>
        <v>0</v>
      </c>
      <c r="D694" s="408" t="str">
        <f t="shared" si="7"/>
        <v/>
      </c>
      <c r="E694" s="176" t="str">
        <f t="shared" si="8"/>
        <v/>
      </c>
      <c r="F694" s="408" t="str">
        <f t="shared" si="11"/>
        <v/>
      </c>
      <c r="G694" s="408" t="str">
        <f t="shared" si="12"/>
        <v/>
      </c>
      <c r="H694" s="410">
        <f>IF(K694&gt;='Pro Forma Detail'!D$66,'Pro Forma Detail'!D$67,'Debt ReFi'!$B$5)</f>
        <v>0.0275</v>
      </c>
      <c r="I694" s="1" t="str">
        <f t="shared" si="1"/>
        <v/>
      </c>
      <c r="J694" s="406">
        <f t="shared" si="13"/>
        <v>66416</v>
      </c>
      <c r="K694" s="105">
        <f t="shared" si="9"/>
        <v>61</v>
      </c>
      <c r="L694" s="411" t="str">
        <f t="shared" si="10"/>
        <v/>
      </c>
      <c r="M694" s="407" t="str">
        <f t="shared" si="2"/>
        <v/>
      </c>
      <c r="N694" s="407">
        <f t="shared" si="3"/>
        <v>0</v>
      </c>
      <c r="O694" s="407" t="str">
        <f t="shared" si="4"/>
        <v/>
      </c>
      <c r="P694" s="1"/>
    </row>
    <row r="695" ht="12.75" customHeight="1">
      <c r="A695" s="1">
        <v>684.0</v>
      </c>
      <c r="B695" s="408" t="str">
        <f t="shared" si="5"/>
        <v/>
      </c>
      <c r="C695" s="408">
        <f t="shared" si="6"/>
        <v>0</v>
      </c>
      <c r="D695" s="408" t="str">
        <f t="shared" si="7"/>
        <v/>
      </c>
      <c r="E695" s="176" t="str">
        <f t="shared" si="8"/>
        <v/>
      </c>
      <c r="F695" s="408" t="str">
        <f t="shared" si="11"/>
        <v/>
      </c>
      <c r="G695" s="408" t="str">
        <f t="shared" si="12"/>
        <v/>
      </c>
      <c r="H695" s="410">
        <f>IF(K695&gt;='Pro Forma Detail'!D$66,'Pro Forma Detail'!D$67,'Debt ReFi'!$B$5)</f>
        <v>0.0275</v>
      </c>
      <c r="I695" s="1" t="str">
        <f t="shared" si="1"/>
        <v/>
      </c>
      <c r="J695" s="406">
        <f t="shared" si="13"/>
        <v>66446</v>
      </c>
      <c r="K695" s="105">
        <f t="shared" si="9"/>
        <v>61</v>
      </c>
      <c r="L695" s="411" t="str">
        <f t="shared" si="10"/>
        <v/>
      </c>
      <c r="M695" s="407" t="str">
        <f t="shared" si="2"/>
        <v/>
      </c>
      <c r="N695" s="407">
        <f t="shared" si="3"/>
        <v>0</v>
      </c>
      <c r="O695" s="407" t="str">
        <f t="shared" si="4"/>
        <v/>
      </c>
      <c r="P695" s="1"/>
    </row>
    <row r="696" ht="12.75" customHeight="1">
      <c r="A696" s="1">
        <v>685.0</v>
      </c>
      <c r="B696" s="408" t="str">
        <f t="shared" si="5"/>
        <v/>
      </c>
      <c r="C696" s="408">
        <f t="shared" si="6"/>
        <v>0</v>
      </c>
      <c r="D696" s="408" t="str">
        <f t="shared" si="7"/>
        <v/>
      </c>
      <c r="E696" s="176" t="str">
        <f t="shared" si="8"/>
        <v/>
      </c>
      <c r="F696" s="408" t="str">
        <f t="shared" si="11"/>
        <v/>
      </c>
      <c r="G696" s="408" t="str">
        <f t="shared" si="12"/>
        <v/>
      </c>
      <c r="H696" s="410">
        <f>IF(K696&gt;='Pro Forma Detail'!D$66,'Pro Forma Detail'!D$67,'Debt ReFi'!$B$5)</f>
        <v>0.0275</v>
      </c>
      <c r="I696" s="1" t="str">
        <f t="shared" si="1"/>
        <v/>
      </c>
      <c r="J696" s="406">
        <f t="shared" si="13"/>
        <v>66477</v>
      </c>
      <c r="K696" s="105">
        <f t="shared" si="9"/>
        <v>62</v>
      </c>
      <c r="L696" s="411" t="str">
        <f t="shared" si="10"/>
        <v/>
      </c>
      <c r="M696" s="407" t="str">
        <f t="shared" si="2"/>
        <v/>
      </c>
      <c r="N696" s="407">
        <f t="shared" si="3"/>
        <v>0</v>
      </c>
      <c r="O696" s="407" t="str">
        <f t="shared" si="4"/>
        <v/>
      </c>
      <c r="P696" s="1"/>
    </row>
    <row r="697" ht="12.75" customHeight="1">
      <c r="A697" s="1">
        <v>686.0</v>
      </c>
      <c r="B697" s="408" t="str">
        <f t="shared" si="5"/>
        <v/>
      </c>
      <c r="C697" s="408">
        <f t="shared" si="6"/>
        <v>0</v>
      </c>
      <c r="D697" s="408" t="str">
        <f t="shared" si="7"/>
        <v/>
      </c>
      <c r="E697" s="176" t="str">
        <f t="shared" si="8"/>
        <v/>
      </c>
      <c r="F697" s="408" t="str">
        <f t="shared" si="11"/>
        <v/>
      </c>
      <c r="G697" s="408" t="str">
        <f t="shared" si="12"/>
        <v/>
      </c>
      <c r="H697" s="410">
        <f>IF(K697&gt;='Pro Forma Detail'!D$66,'Pro Forma Detail'!D$67,'Debt ReFi'!$B$5)</f>
        <v>0.0275</v>
      </c>
      <c r="I697" s="1" t="str">
        <f t="shared" si="1"/>
        <v/>
      </c>
      <c r="J697" s="406">
        <f t="shared" si="13"/>
        <v>66508</v>
      </c>
      <c r="K697" s="105">
        <f t="shared" si="9"/>
        <v>62</v>
      </c>
      <c r="L697" s="411" t="str">
        <f t="shared" si="10"/>
        <v/>
      </c>
      <c r="M697" s="407" t="str">
        <f t="shared" si="2"/>
        <v/>
      </c>
      <c r="N697" s="407">
        <f t="shared" si="3"/>
        <v>0</v>
      </c>
      <c r="O697" s="407" t="str">
        <f t="shared" si="4"/>
        <v/>
      </c>
      <c r="P697" s="1"/>
    </row>
    <row r="698" ht="12.75" customHeight="1">
      <c r="A698" s="1">
        <v>687.0</v>
      </c>
      <c r="B698" s="408" t="str">
        <f t="shared" si="5"/>
        <v/>
      </c>
      <c r="C698" s="408">
        <f t="shared" si="6"/>
        <v>0</v>
      </c>
      <c r="D698" s="408" t="str">
        <f t="shared" si="7"/>
        <v/>
      </c>
      <c r="E698" s="176" t="str">
        <f t="shared" si="8"/>
        <v/>
      </c>
      <c r="F698" s="408" t="str">
        <f t="shared" si="11"/>
        <v/>
      </c>
      <c r="G698" s="408" t="str">
        <f t="shared" si="12"/>
        <v/>
      </c>
      <c r="H698" s="410">
        <f>IF(K698&gt;='Pro Forma Detail'!D$66,'Pro Forma Detail'!D$67,'Debt ReFi'!$B$5)</f>
        <v>0.0275</v>
      </c>
      <c r="I698" s="1" t="str">
        <f t="shared" si="1"/>
        <v/>
      </c>
      <c r="J698" s="406">
        <f t="shared" si="13"/>
        <v>66536</v>
      </c>
      <c r="K698" s="105">
        <f t="shared" si="9"/>
        <v>62</v>
      </c>
      <c r="L698" s="411" t="str">
        <f t="shared" si="10"/>
        <v/>
      </c>
      <c r="M698" s="407" t="str">
        <f t="shared" si="2"/>
        <v/>
      </c>
      <c r="N698" s="407">
        <f t="shared" si="3"/>
        <v>0</v>
      </c>
      <c r="O698" s="407" t="str">
        <f t="shared" si="4"/>
        <v/>
      </c>
      <c r="P698" s="1"/>
    </row>
    <row r="699" ht="12.75" customHeight="1">
      <c r="A699" s="1">
        <v>688.0</v>
      </c>
      <c r="B699" s="408" t="str">
        <f t="shared" si="5"/>
        <v/>
      </c>
      <c r="C699" s="408">
        <f t="shared" si="6"/>
        <v>0</v>
      </c>
      <c r="D699" s="408" t="str">
        <f t="shared" si="7"/>
        <v/>
      </c>
      <c r="E699" s="176" t="str">
        <f t="shared" si="8"/>
        <v/>
      </c>
      <c r="F699" s="408" t="str">
        <f t="shared" si="11"/>
        <v/>
      </c>
      <c r="G699" s="408" t="str">
        <f t="shared" si="12"/>
        <v/>
      </c>
      <c r="H699" s="410">
        <f>IF(K699&gt;='Pro Forma Detail'!D$66,'Pro Forma Detail'!D$67,'Debt ReFi'!$B$5)</f>
        <v>0.0275</v>
      </c>
      <c r="I699" s="1" t="str">
        <f t="shared" si="1"/>
        <v/>
      </c>
      <c r="J699" s="406">
        <f t="shared" si="13"/>
        <v>66567</v>
      </c>
      <c r="K699" s="105">
        <f t="shared" si="9"/>
        <v>62</v>
      </c>
      <c r="L699" s="411" t="str">
        <f t="shared" si="10"/>
        <v/>
      </c>
      <c r="M699" s="407" t="str">
        <f t="shared" si="2"/>
        <v/>
      </c>
      <c r="N699" s="407">
        <f t="shared" si="3"/>
        <v>0</v>
      </c>
      <c r="O699" s="407" t="str">
        <f t="shared" si="4"/>
        <v/>
      </c>
      <c r="P699" s="1"/>
    </row>
    <row r="700" ht="12.75" customHeight="1">
      <c r="A700" s="1">
        <v>689.0</v>
      </c>
      <c r="B700" s="408" t="str">
        <f t="shared" si="5"/>
        <v/>
      </c>
      <c r="C700" s="408">
        <f t="shared" si="6"/>
        <v>0</v>
      </c>
      <c r="D700" s="408" t="str">
        <f t="shared" si="7"/>
        <v/>
      </c>
      <c r="E700" s="176" t="str">
        <f t="shared" si="8"/>
        <v/>
      </c>
      <c r="F700" s="408" t="str">
        <f t="shared" si="11"/>
        <v/>
      </c>
      <c r="G700" s="408" t="str">
        <f t="shared" si="12"/>
        <v/>
      </c>
      <c r="H700" s="410">
        <f>IF(K700&gt;='Pro Forma Detail'!D$66,'Pro Forma Detail'!D$67,'Debt ReFi'!$B$5)</f>
        <v>0.0275</v>
      </c>
      <c r="I700" s="1" t="str">
        <f t="shared" si="1"/>
        <v/>
      </c>
      <c r="J700" s="406">
        <f t="shared" si="13"/>
        <v>66597</v>
      </c>
      <c r="K700" s="105">
        <f t="shared" si="9"/>
        <v>62</v>
      </c>
      <c r="L700" s="411" t="str">
        <f t="shared" si="10"/>
        <v/>
      </c>
      <c r="M700" s="407" t="str">
        <f t="shared" si="2"/>
        <v/>
      </c>
      <c r="N700" s="407">
        <f t="shared" si="3"/>
        <v>0</v>
      </c>
      <c r="O700" s="407" t="str">
        <f t="shared" si="4"/>
        <v/>
      </c>
      <c r="P700" s="1"/>
    </row>
    <row r="701" ht="12.75" customHeight="1">
      <c r="A701" s="1">
        <v>690.0</v>
      </c>
      <c r="B701" s="408" t="str">
        <f t="shared" si="5"/>
        <v/>
      </c>
      <c r="C701" s="408">
        <f t="shared" si="6"/>
        <v>0</v>
      </c>
      <c r="D701" s="408" t="str">
        <f t="shared" si="7"/>
        <v/>
      </c>
      <c r="E701" s="176" t="str">
        <f t="shared" si="8"/>
        <v/>
      </c>
      <c r="F701" s="408" t="str">
        <f t="shared" si="11"/>
        <v/>
      </c>
      <c r="G701" s="408" t="str">
        <f t="shared" si="12"/>
        <v/>
      </c>
      <c r="H701" s="410">
        <f>IF(K701&gt;='Pro Forma Detail'!D$66,'Pro Forma Detail'!D$67,'Debt ReFi'!$B$5)</f>
        <v>0.0275</v>
      </c>
      <c r="I701" s="1" t="str">
        <f t="shared" si="1"/>
        <v/>
      </c>
      <c r="J701" s="406">
        <f t="shared" si="13"/>
        <v>66628</v>
      </c>
      <c r="K701" s="105">
        <f t="shared" si="9"/>
        <v>62</v>
      </c>
      <c r="L701" s="411" t="str">
        <f t="shared" si="10"/>
        <v/>
      </c>
      <c r="M701" s="407" t="str">
        <f t="shared" si="2"/>
        <v/>
      </c>
      <c r="N701" s="407">
        <f t="shared" si="3"/>
        <v>0</v>
      </c>
      <c r="O701" s="407" t="str">
        <f t="shared" si="4"/>
        <v/>
      </c>
      <c r="P701" s="1"/>
    </row>
    <row r="702" ht="12.75" customHeight="1">
      <c r="A702" s="1">
        <v>691.0</v>
      </c>
      <c r="B702" s="408" t="str">
        <f t="shared" si="5"/>
        <v/>
      </c>
      <c r="C702" s="408">
        <f t="shared" si="6"/>
        <v>0</v>
      </c>
      <c r="D702" s="408" t="str">
        <f t="shared" si="7"/>
        <v/>
      </c>
      <c r="E702" s="176" t="str">
        <f t="shared" si="8"/>
        <v/>
      </c>
      <c r="F702" s="408" t="str">
        <f t="shared" si="11"/>
        <v/>
      </c>
      <c r="G702" s="408" t="str">
        <f t="shared" si="12"/>
        <v/>
      </c>
      <c r="H702" s="410">
        <f>IF(K702&gt;='Pro Forma Detail'!D$66,'Pro Forma Detail'!D$67,'Debt ReFi'!$B$5)</f>
        <v>0.0275</v>
      </c>
      <c r="I702" s="1" t="str">
        <f t="shared" si="1"/>
        <v/>
      </c>
      <c r="J702" s="406">
        <f t="shared" si="13"/>
        <v>66658</v>
      </c>
      <c r="K702" s="105">
        <f t="shared" si="9"/>
        <v>62</v>
      </c>
      <c r="L702" s="411" t="str">
        <f t="shared" si="10"/>
        <v/>
      </c>
      <c r="M702" s="407" t="str">
        <f t="shared" si="2"/>
        <v/>
      </c>
      <c r="N702" s="407">
        <f t="shared" si="3"/>
        <v>0</v>
      </c>
      <c r="O702" s="407" t="str">
        <f t="shared" si="4"/>
        <v/>
      </c>
      <c r="P702" s="1"/>
    </row>
    <row r="703" ht="12.75" customHeight="1">
      <c r="A703" s="1">
        <v>692.0</v>
      </c>
      <c r="B703" s="408" t="str">
        <f t="shared" si="5"/>
        <v/>
      </c>
      <c r="C703" s="408">
        <f t="shared" si="6"/>
        <v>0</v>
      </c>
      <c r="D703" s="408" t="str">
        <f t="shared" si="7"/>
        <v/>
      </c>
      <c r="E703" s="176" t="str">
        <f t="shared" si="8"/>
        <v/>
      </c>
      <c r="F703" s="408" t="str">
        <f t="shared" si="11"/>
        <v/>
      </c>
      <c r="G703" s="408" t="str">
        <f t="shared" si="12"/>
        <v/>
      </c>
      <c r="H703" s="410">
        <f>IF(K703&gt;='Pro Forma Detail'!D$66,'Pro Forma Detail'!D$67,'Debt ReFi'!$B$5)</f>
        <v>0.0275</v>
      </c>
      <c r="I703" s="1" t="str">
        <f t="shared" si="1"/>
        <v/>
      </c>
      <c r="J703" s="406">
        <f t="shared" si="13"/>
        <v>66689</v>
      </c>
      <c r="K703" s="105">
        <f t="shared" si="9"/>
        <v>62</v>
      </c>
      <c r="L703" s="411" t="str">
        <f t="shared" si="10"/>
        <v/>
      </c>
      <c r="M703" s="407" t="str">
        <f t="shared" si="2"/>
        <v/>
      </c>
      <c r="N703" s="407">
        <f t="shared" si="3"/>
        <v>0</v>
      </c>
      <c r="O703" s="407" t="str">
        <f t="shared" si="4"/>
        <v/>
      </c>
      <c r="P703" s="1"/>
    </row>
    <row r="704" ht="12.75" customHeight="1">
      <c r="A704" s="1">
        <v>693.0</v>
      </c>
      <c r="B704" s="408" t="str">
        <f t="shared" si="5"/>
        <v/>
      </c>
      <c r="C704" s="408">
        <f t="shared" si="6"/>
        <v>0</v>
      </c>
      <c r="D704" s="408" t="str">
        <f t="shared" si="7"/>
        <v/>
      </c>
      <c r="E704" s="176" t="str">
        <f t="shared" si="8"/>
        <v/>
      </c>
      <c r="F704" s="408" t="str">
        <f t="shared" si="11"/>
        <v/>
      </c>
      <c r="G704" s="408" t="str">
        <f t="shared" si="12"/>
        <v/>
      </c>
      <c r="H704" s="410">
        <f>IF(K704&gt;='Pro Forma Detail'!D$66,'Pro Forma Detail'!D$67,'Debt ReFi'!$B$5)</f>
        <v>0.0275</v>
      </c>
      <c r="I704" s="1" t="str">
        <f t="shared" si="1"/>
        <v/>
      </c>
      <c r="J704" s="406">
        <f t="shared" si="13"/>
        <v>66720</v>
      </c>
      <c r="K704" s="105">
        <f t="shared" si="9"/>
        <v>62</v>
      </c>
      <c r="L704" s="411" t="str">
        <f t="shared" si="10"/>
        <v/>
      </c>
      <c r="M704" s="407" t="str">
        <f t="shared" si="2"/>
        <v/>
      </c>
      <c r="N704" s="407">
        <f t="shared" si="3"/>
        <v>0</v>
      </c>
      <c r="O704" s="407" t="str">
        <f t="shared" si="4"/>
        <v/>
      </c>
      <c r="P704" s="1"/>
    </row>
    <row r="705" ht="12.75" customHeight="1">
      <c r="A705" s="1">
        <v>694.0</v>
      </c>
      <c r="B705" s="408" t="str">
        <f t="shared" si="5"/>
        <v/>
      </c>
      <c r="C705" s="408">
        <f t="shared" si="6"/>
        <v>0</v>
      </c>
      <c r="D705" s="408" t="str">
        <f t="shared" si="7"/>
        <v/>
      </c>
      <c r="E705" s="176" t="str">
        <f t="shared" si="8"/>
        <v/>
      </c>
      <c r="F705" s="408" t="str">
        <f t="shared" si="11"/>
        <v/>
      </c>
      <c r="G705" s="408" t="str">
        <f t="shared" si="12"/>
        <v/>
      </c>
      <c r="H705" s="410">
        <f>IF(K705&gt;='Pro Forma Detail'!D$66,'Pro Forma Detail'!D$67,'Debt ReFi'!$B$5)</f>
        <v>0.0275</v>
      </c>
      <c r="I705" s="1" t="str">
        <f t="shared" si="1"/>
        <v/>
      </c>
      <c r="J705" s="406">
        <f t="shared" si="13"/>
        <v>66750</v>
      </c>
      <c r="K705" s="105">
        <f t="shared" si="9"/>
        <v>62</v>
      </c>
      <c r="L705" s="411" t="str">
        <f t="shared" si="10"/>
        <v/>
      </c>
      <c r="M705" s="407" t="str">
        <f t="shared" si="2"/>
        <v/>
      </c>
      <c r="N705" s="407">
        <f t="shared" si="3"/>
        <v>0</v>
      </c>
      <c r="O705" s="407" t="str">
        <f t="shared" si="4"/>
        <v/>
      </c>
      <c r="P705" s="1"/>
    </row>
    <row r="706" ht="12.75" customHeight="1">
      <c r="A706" s="1">
        <v>695.0</v>
      </c>
      <c r="B706" s="408" t="str">
        <f t="shared" si="5"/>
        <v/>
      </c>
      <c r="C706" s="408">
        <f t="shared" si="6"/>
        <v>0</v>
      </c>
      <c r="D706" s="408" t="str">
        <f t="shared" si="7"/>
        <v/>
      </c>
      <c r="E706" s="176" t="str">
        <f t="shared" si="8"/>
        <v/>
      </c>
      <c r="F706" s="408" t="str">
        <f t="shared" si="11"/>
        <v/>
      </c>
      <c r="G706" s="408" t="str">
        <f t="shared" si="12"/>
        <v/>
      </c>
      <c r="H706" s="410">
        <f>IF(K706&gt;='Pro Forma Detail'!D$66,'Pro Forma Detail'!D$67,'Debt ReFi'!$B$5)</f>
        <v>0.0275</v>
      </c>
      <c r="I706" s="1" t="str">
        <f t="shared" si="1"/>
        <v/>
      </c>
      <c r="J706" s="406">
        <f t="shared" si="13"/>
        <v>66781</v>
      </c>
      <c r="K706" s="105">
        <f t="shared" si="9"/>
        <v>62</v>
      </c>
      <c r="L706" s="411" t="str">
        <f t="shared" si="10"/>
        <v/>
      </c>
      <c r="M706" s="407" t="str">
        <f t="shared" si="2"/>
        <v/>
      </c>
      <c r="N706" s="407">
        <f t="shared" si="3"/>
        <v>0</v>
      </c>
      <c r="O706" s="407" t="str">
        <f t="shared" si="4"/>
        <v/>
      </c>
      <c r="P706" s="1"/>
    </row>
    <row r="707" ht="12.75" customHeight="1">
      <c r="A707" s="1">
        <v>696.0</v>
      </c>
      <c r="B707" s="408" t="str">
        <f t="shared" si="5"/>
        <v/>
      </c>
      <c r="C707" s="408">
        <f t="shared" si="6"/>
        <v>0</v>
      </c>
      <c r="D707" s="408" t="str">
        <f t="shared" si="7"/>
        <v/>
      </c>
      <c r="E707" s="176" t="str">
        <f t="shared" si="8"/>
        <v/>
      </c>
      <c r="F707" s="408" t="str">
        <f t="shared" si="11"/>
        <v/>
      </c>
      <c r="G707" s="408" t="str">
        <f t="shared" si="12"/>
        <v/>
      </c>
      <c r="H707" s="410">
        <f>IF(K707&gt;='Pro Forma Detail'!D$66,'Pro Forma Detail'!D$67,'Debt ReFi'!$B$5)</f>
        <v>0.0275</v>
      </c>
      <c r="I707" s="1" t="str">
        <f t="shared" si="1"/>
        <v/>
      </c>
      <c r="J707" s="406">
        <f t="shared" si="13"/>
        <v>66811</v>
      </c>
      <c r="K707" s="105">
        <f t="shared" si="9"/>
        <v>62</v>
      </c>
      <c r="L707" s="411" t="str">
        <f t="shared" si="10"/>
        <v/>
      </c>
      <c r="M707" s="407" t="str">
        <f t="shared" si="2"/>
        <v/>
      </c>
      <c r="N707" s="407">
        <f t="shared" si="3"/>
        <v>0</v>
      </c>
      <c r="O707" s="407" t="str">
        <f t="shared" si="4"/>
        <v/>
      </c>
      <c r="P707" s="1"/>
    </row>
    <row r="708" ht="12.75" customHeight="1">
      <c r="A708" s="1">
        <v>697.0</v>
      </c>
      <c r="B708" s="408" t="str">
        <f t="shared" si="5"/>
        <v/>
      </c>
      <c r="C708" s="408">
        <f t="shared" si="6"/>
        <v>0</v>
      </c>
      <c r="D708" s="408" t="str">
        <f t="shared" si="7"/>
        <v/>
      </c>
      <c r="E708" s="176" t="str">
        <f t="shared" si="8"/>
        <v/>
      </c>
      <c r="F708" s="408" t="str">
        <f t="shared" si="11"/>
        <v/>
      </c>
      <c r="G708" s="408" t="str">
        <f t="shared" si="12"/>
        <v/>
      </c>
      <c r="H708" s="410">
        <f>IF(K708&gt;='Pro Forma Detail'!D$66,'Pro Forma Detail'!D$67,'Debt ReFi'!$B$5)</f>
        <v>0.0275</v>
      </c>
      <c r="I708" s="1" t="str">
        <f t="shared" si="1"/>
        <v/>
      </c>
      <c r="J708" s="406">
        <f t="shared" si="13"/>
        <v>66842</v>
      </c>
      <c r="K708" s="105">
        <f t="shared" si="9"/>
        <v>63</v>
      </c>
      <c r="L708" s="411" t="str">
        <f t="shared" si="10"/>
        <v/>
      </c>
      <c r="M708" s="407" t="str">
        <f t="shared" si="2"/>
        <v/>
      </c>
      <c r="N708" s="407">
        <f t="shared" si="3"/>
        <v>0</v>
      </c>
      <c r="O708" s="407" t="str">
        <f t="shared" si="4"/>
        <v/>
      </c>
      <c r="P708" s="1"/>
    </row>
    <row r="709" ht="12.75" customHeight="1">
      <c r="A709" s="1">
        <v>698.0</v>
      </c>
      <c r="B709" s="408" t="str">
        <f t="shared" si="5"/>
        <v/>
      </c>
      <c r="C709" s="408">
        <f t="shared" si="6"/>
        <v>0</v>
      </c>
      <c r="D709" s="408" t="str">
        <f t="shared" si="7"/>
        <v/>
      </c>
      <c r="E709" s="176" t="str">
        <f t="shared" si="8"/>
        <v/>
      </c>
      <c r="F709" s="408" t="str">
        <f t="shared" si="11"/>
        <v/>
      </c>
      <c r="G709" s="408" t="str">
        <f t="shared" si="12"/>
        <v/>
      </c>
      <c r="H709" s="410">
        <f>IF(K709&gt;='Pro Forma Detail'!D$66,'Pro Forma Detail'!D$67,'Debt ReFi'!$B$5)</f>
        <v>0.0275</v>
      </c>
      <c r="I709" s="1" t="str">
        <f t="shared" si="1"/>
        <v/>
      </c>
      <c r="J709" s="406">
        <f t="shared" si="13"/>
        <v>66873</v>
      </c>
      <c r="K709" s="105">
        <f t="shared" si="9"/>
        <v>63</v>
      </c>
      <c r="L709" s="411" t="str">
        <f t="shared" si="10"/>
        <v/>
      </c>
      <c r="M709" s="407" t="str">
        <f t="shared" si="2"/>
        <v/>
      </c>
      <c r="N709" s="407">
        <f t="shared" si="3"/>
        <v>0</v>
      </c>
      <c r="O709" s="407" t="str">
        <f t="shared" si="4"/>
        <v/>
      </c>
      <c r="P709" s="1"/>
    </row>
    <row r="710" ht="12.75" customHeight="1">
      <c r="A710" s="1">
        <v>699.0</v>
      </c>
      <c r="B710" s="408" t="str">
        <f t="shared" si="5"/>
        <v/>
      </c>
      <c r="C710" s="408">
        <f t="shared" si="6"/>
        <v>0</v>
      </c>
      <c r="D710" s="408" t="str">
        <f t="shared" si="7"/>
        <v/>
      </c>
      <c r="E710" s="176" t="str">
        <f t="shared" si="8"/>
        <v/>
      </c>
      <c r="F710" s="408" t="str">
        <f t="shared" si="11"/>
        <v/>
      </c>
      <c r="G710" s="408" t="str">
        <f t="shared" si="12"/>
        <v/>
      </c>
      <c r="H710" s="410">
        <f>IF(K710&gt;='Pro Forma Detail'!D$66,'Pro Forma Detail'!D$67,'Debt ReFi'!$B$5)</f>
        <v>0.0275</v>
      </c>
      <c r="I710" s="1" t="str">
        <f t="shared" si="1"/>
        <v/>
      </c>
      <c r="J710" s="406">
        <f t="shared" si="13"/>
        <v>66901</v>
      </c>
      <c r="K710" s="105">
        <f t="shared" si="9"/>
        <v>63</v>
      </c>
      <c r="L710" s="411" t="str">
        <f t="shared" si="10"/>
        <v/>
      </c>
      <c r="M710" s="407" t="str">
        <f t="shared" si="2"/>
        <v/>
      </c>
      <c r="N710" s="407">
        <f t="shared" si="3"/>
        <v>0</v>
      </c>
      <c r="O710" s="407" t="str">
        <f t="shared" si="4"/>
        <v/>
      </c>
      <c r="P710" s="1"/>
    </row>
    <row r="711" ht="12.75" customHeight="1">
      <c r="A711" s="1">
        <v>700.0</v>
      </c>
      <c r="B711" s="408" t="str">
        <f t="shared" si="5"/>
        <v/>
      </c>
      <c r="C711" s="408">
        <f t="shared" si="6"/>
        <v>0</v>
      </c>
      <c r="D711" s="408" t="str">
        <f t="shared" si="7"/>
        <v/>
      </c>
      <c r="E711" s="176" t="str">
        <f t="shared" si="8"/>
        <v/>
      </c>
      <c r="F711" s="408" t="str">
        <f t="shared" si="11"/>
        <v/>
      </c>
      <c r="G711" s="408" t="str">
        <f t="shared" si="12"/>
        <v/>
      </c>
      <c r="H711" s="410">
        <f>IF(K711&gt;='Pro Forma Detail'!D$66,'Pro Forma Detail'!D$67,'Debt ReFi'!$B$5)</f>
        <v>0.0275</v>
      </c>
      <c r="I711" s="1" t="str">
        <f t="shared" si="1"/>
        <v/>
      </c>
      <c r="J711" s="406">
        <f t="shared" si="13"/>
        <v>66932</v>
      </c>
      <c r="K711" s="105">
        <f t="shared" si="9"/>
        <v>63</v>
      </c>
      <c r="L711" s="411" t="str">
        <f t="shared" si="10"/>
        <v/>
      </c>
      <c r="M711" s="407" t="str">
        <f t="shared" si="2"/>
        <v/>
      </c>
      <c r="N711" s="407">
        <f t="shared" si="3"/>
        <v>0</v>
      </c>
      <c r="O711" s="407" t="str">
        <f t="shared" si="4"/>
        <v/>
      </c>
      <c r="P711" s="1"/>
    </row>
    <row r="712" ht="12.75" customHeight="1">
      <c r="A712" s="1">
        <v>701.0</v>
      </c>
      <c r="B712" s="408" t="str">
        <f t="shared" si="5"/>
        <v/>
      </c>
      <c r="C712" s="408">
        <f t="shared" si="6"/>
        <v>0</v>
      </c>
      <c r="D712" s="408" t="str">
        <f t="shared" si="7"/>
        <v/>
      </c>
      <c r="E712" s="176" t="str">
        <f t="shared" si="8"/>
        <v/>
      </c>
      <c r="F712" s="408" t="str">
        <f t="shared" si="11"/>
        <v/>
      </c>
      <c r="G712" s="408" t="str">
        <f t="shared" si="12"/>
        <v/>
      </c>
      <c r="H712" s="410">
        <f>IF(K712&gt;='Pro Forma Detail'!D$66,'Pro Forma Detail'!D$67,'Debt ReFi'!$B$5)</f>
        <v>0.0275</v>
      </c>
      <c r="I712" s="1" t="str">
        <f t="shared" si="1"/>
        <v/>
      </c>
      <c r="J712" s="406">
        <f t="shared" si="13"/>
        <v>66962</v>
      </c>
      <c r="K712" s="105">
        <f t="shared" si="9"/>
        <v>63</v>
      </c>
      <c r="L712" s="411" t="str">
        <f t="shared" si="10"/>
        <v/>
      </c>
      <c r="M712" s="407" t="str">
        <f t="shared" si="2"/>
        <v/>
      </c>
      <c r="N712" s="407">
        <f t="shared" si="3"/>
        <v>0</v>
      </c>
      <c r="O712" s="407" t="str">
        <f t="shared" si="4"/>
        <v/>
      </c>
      <c r="P712" s="1"/>
    </row>
    <row r="713" ht="12.75" customHeight="1">
      <c r="A713" s="1">
        <v>702.0</v>
      </c>
      <c r="B713" s="408" t="str">
        <f t="shared" si="5"/>
        <v/>
      </c>
      <c r="C713" s="408">
        <f t="shared" si="6"/>
        <v>0</v>
      </c>
      <c r="D713" s="408" t="str">
        <f t="shared" si="7"/>
        <v/>
      </c>
      <c r="E713" s="176" t="str">
        <f t="shared" si="8"/>
        <v/>
      </c>
      <c r="F713" s="408" t="str">
        <f t="shared" si="11"/>
        <v/>
      </c>
      <c r="G713" s="408" t="str">
        <f t="shared" si="12"/>
        <v/>
      </c>
      <c r="H713" s="410">
        <f>IF(K713&gt;='Pro Forma Detail'!D$66,'Pro Forma Detail'!D$67,'Debt ReFi'!$B$5)</f>
        <v>0.0275</v>
      </c>
      <c r="I713" s="1" t="str">
        <f t="shared" si="1"/>
        <v/>
      </c>
      <c r="J713" s="406">
        <f t="shared" si="13"/>
        <v>66993</v>
      </c>
      <c r="K713" s="105">
        <f t="shared" si="9"/>
        <v>63</v>
      </c>
      <c r="L713" s="411" t="str">
        <f t="shared" si="10"/>
        <v/>
      </c>
      <c r="M713" s="407" t="str">
        <f t="shared" si="2"/>
        <v/>
      </c>
      <c r="N713" s="407">
        <f t="shared" si="3"/>
        <v>0</v>
      </c>
      <c r="O713" s="407" t="str">
        <f t="shared" si="4"/>
        <v/>
      </c>
      <c r="P713" s="1"/>
    </row>
    <row r="714" ht="12.75" customHeight="1">
      <c r="A714" s="1">
        <v>703.0</v>
      </c>
      <c r="B714" s="408" t="str">
        <f t="shared" si="5"/>
        <v/>
      </c>
      <c r="C714" s="408">
        <f t="shared" si="6"/>
        <v>0</v>
      </c>
      <c r="D714" s="408" t="str">
        <f t="shared" si="7"/>
        <v/>
      </c>
      <c r="E714" s="176" t="str">
        <f t="shared" si="8"/>
        <v/>
      </c>
      <c r="F714" s="408" t="str">
        <f t="shared" si="11"/>
        <v/>
      </c>
      <c r="G714" s="408" t="str">
        <f t="shared" si="12"/>
        <v/>
      </c>
      <c r="H714" s="410">
        <f>IF(K714&gt;='Pro Forma Detail'!D$66,'Pro Forma Detail'!D$67,'Debt ReFi'!$B$5)</f>
        <v>0.0275</v>
      </c>
      <c r="I714" s="1" t="str">
        <f t="shared" si="1"/>
        <v/>
      </c>
      <c r="J714" s="406">
        <f t="shared" si="13"/>
        <v>67023</v>
      </c>
      <c r="K714" s="105">
        <f t="shared" si="9"/>
        <v>63</v>
      </c>
      <c r="L714" s="411" t="str">
        <f t="shared" si="10"/>
        <v/>
      </c>
      <c r="M714" s="407" t="str">
        <f t="shared" si="2"/>
        <v/>
      </c>
      <c r="N714" s="407">
        <f t="shared" si="3"/>
        <v>0</v>
      </c>
      <c r="O714" s="407" t="str">
        <f t="shared" si="4"/>
        <v/>
      </c>
      <c r="P714" s="1"/>
    </row>
    <row r="715" ht="12.75" customHeight="1">
      <c r="A715" s="1">
        <v>704.0</v>
      </c>
      <c r="B715" s="408" t="str">
        <f t="shared" si="5"/>
        <v/>
      </c>
      <c r="C715" s="408">
        <f t="shared" si="6"/>
        <v>0</v>
      </c>
      <c r="D715" s="408" t="str">
        <f t="shared" si="7"/>
        <v/>
      </c>
      <c r="E715" s="176" t="str">
        <f t="shared" si="8"/>
        <v/>
      </c>
      <c r="F715" s="408" t="str">
        <f t="shared" si="11"/>
        <v/>
      </c>
      <c r="G715" s="408" t="str">
        <f t="shared" si="12"/>
        <v/>
      </c>
      <c r="H715" s="410">
        <f>IF(K715&gt;='Pro Forma Detail'!D$66,'Pro Forma Detail'!D$67,'Debt ReFi'!$B$5)</f>
        <v>0.0275</v>
      </c>
      <c r="I715" s="1" t="str">
        <f t="shared" si="1"/>
        <v/>
      </c>
      <c r="J715" s="406">
        <f t="shared" si="13"/>
        <v>67054</v>
      </c>
      <c r="K715" s="105">
        <f t="shared" si="9"/>
        <v>63</v>
      </c>
      <c r="L715" s="411" t="str">
        <f t="shared" si="10"/>
        <v/>
      </c>
      <c r="M715" s="407" t="str">
        <f t="shared" si="2"/>
        <v/>
      </c>
      <c r="N715" s="407">
        <f t="shared" si="3"/>
        <v>0</v>
      </c>
      <c r="O715" s="407" t="str">
        <f t="shared" si="4"/>
        <v/>
      </c>
      <c r="P715" s="1"/>
    </row>
    <row r="716" ht="12.75" customHeight="1">
      <c r="A716" s="1">
        <v>705.0</v>
      </c>
      <c r="B716" s="408" t="str">
        <f t="shared" si="5"/>
        <v/>
      </c>
      <c r="C716" s="408">
        <f t="shared" si="6"/>
        <v>0</v>
      </c>
      <c r="D716" s="408" t="str">
        <f t="shared" si="7"/>
        <v/>
      </c>
      <c r="E716" s="176" t="str">
        <f t="shared" si="8"/>
        <v/>
      </c>
      <c r="F716" s="408" t="str">
        <f t="shared" si="11"/>
        <v/>
      </c>
      <c r="G716" s="408" t="str">
        <f t="shared" si="12"/>
        <v/>
      </c>
      <c r="H716" s="410">
        <f>IF(K716&gt;='Pro Forma Detail'!D$66,'Pro Forma Detail'!D$67,'Debt ReFi'!$B$5)</f>
        <v>0.0275</v>
      </c>
      <c r="I716" s="1" t="str">
        <f t="shared" si="1"/>
        <v/>
      </c>
      <c r="J716" s="406">
        <f t="shared" si="13"/>
        <v>67085</v>
      </c>
      <c r="K716" s="105">
        <f t="shared" si="9"/>
        <v>63</v>
      </c>
      <c r="L716" s="411" t="str">
        <f t="shared" si="10"/>
        <v/>
      </c>
      <c r="M716" s="407" t="str">
        <f t="shared" si="2"/>
        <v/>
      </c>
      <c r="N716" s="407">
        <f t="shared" si="3"/>
        <v>0</v>
      </c>
      <c r="O716" s="407" t="str">
        <f t="shared" si="4"/>
        <v/>
      </c>
      <c r="P716" s="1"/>
    </row>
    <row r="717" ht="12.75" customHeight="1">
      <c r="A717" s="1">
        <v>706.0</v>
      </c>
      <c r="B717" s="408" t="str">
        <f t="shared" si="5"/>
        <v/>
      </c>
      <c r="C717" s="408">
        <f t="shared" si="6"/>
        <v>0</v>
      </c>
      <c r="D717" s="408" t="str">
        <f t="shared" si="7"/>
        <v/>
      </c>
      <c r="E717" s="176" t="str">
        <f t="shared" si="8"/>
        <v/>
      </c>
      <c r="F717" s="408" t="str">
        <f t="shared" si="11"/>
        <v/>
      </c>
      <c r="G717" s="408" t="str">
        <f t="shared" si="12"/>
        <v/>
      </c>
      <c r="H717" s="410">
        <f>IF(K717&gt;='Pro Forma Detail'!D$66,'Pro Forma Detail'!D$67,'Debt ReFi'!$B$5)</f>
        <v>0.0275</v>
      </c>
      <c r="I717" s="1" t="str">
        <f t="shared" si="1"/>
        <v/>
      </c>
      <c r="J717" s="406">
        <f t="shared" si="13"/>
        <v>67115</v>
      </c>
      <c r="K717" s="105">
        <f t="shared" si="9"/>
        <v>63</v>
      </c>
      <c r="L717" s="411" t="str">
        <f t="shared" si="10"/>
        <v/>
      </c>
      <c r="M717" s="407" t="str">
        <f t="shared" si="2"/>
        <v/>
      </c>
      <c r="N717" s="407">
        <f t="shared" si="3"/>
        <v>0</v>
      </c>
      <c r="O717" s="407" t="str">
        <f t="shared" si="4"/>
        <v/>
      </c>
      <c r="P717" s="1"/>
    </row>
    <row r="718" ht="12.75" customHeight="1">
      <c r="A718" s="1">
        <v>707.0</v>
      </c>
      <c r="B718" s="408" t="str">
        <f t="shared" si="5"/>
        <v/>
      </c>
      <c r="C718" s="408">
        <f t="shared" si="6"/>
        <v>0</v>
      </c>
      <c r="D718" s="408" t="str">
        <f t="shared" si="7"/>
        <v/>
      </c>
      <c r="E718" s="176" t="str">
        <f t="shared" si="8"/>
        <v/>
      </c>
      <c r="F718" s="408" t="str">
        <f t="shared" si="11"/>
        <v/>
      </c>
      <c r="G718" s="408" t="str">
        <f t="shared" si="12"/>
        <v/>
      </c>
      <c r="H718" s="410">
        <f>IF(K718&gt;='Pro Forma Detail'!D$66,'Pro Forma Detail'!D$67,'Debt ReFi'!$B$5)</f>
        <v>0.0275</v>
      </c>
      <c r="I718" s="1" t="str">
        <f t="shared" si="1"/>
        <v/>
      </c>
      <c r="J718" s="406">
        <f t="shared" si="13"/>
        <v>67146</v>
      </c>
      <c r="K718" s="105">
        <f t="shared" si="9"/>
        <v>63</v>
      </c>
      <c r="L718" s="411" t="str">
        <f t="shared" si="10"/>
        <v/>
      </c>
      <c r="M718" s="407" t="str">
        <f t="shared" si="2"/>
        <v/>
      </c>
      <c r="N718" s="407">
        <f t="shared" si="3"/>
        <v>0</v>
      </c>
      <c r="O718" s="407" t="str">
        <f t="shared" si="4"/>
        <v/>
      </c>
      <c r="P718" s="1"/>
    </row>
    <row r="719" ht="12.75" customHeight="1">
      <c r="A719" s="1">
        <v>708.0</v>
      </c>
      <c r="B719" s="408" t="str">
        <f t="shared" si="5"/>
        <v/>
      </c>
      <c r="C719" s="408">
        <f t="shared" si="6"/>
        <v>0</v>
      </c>
      <c r="D719" s="408" t="str">
        <f t="shared" si="7"/>
        <v/>
      </c>
      <c r="E719" s="176" t="str">
        <f t="shared" si="8"/>
        <v/>
      </c>
      <c r="F719" s="408" t="str">
        <f t="shared" si="11"/>
        <v/>
      </c>
      <c r="G719" s="408" t="str">
        <f t="shared" si="12"/>
        <v/>
      </c>
      <c r="H719" s="410">
        <f>IF(K719&gt;='Pro Forma Detail'!D$66,'Pro Forma Detail'!D$67,'Debt ReFi'!$B$5)</f>
        <v>0.0275</v>
      </c>
      <c r="I719" s="1" t="str">
        <f t="shared" si="1"/>
        <v/>
      </c>
      <c r="J719" s="406">
        <f t="shared" si="13"/>
        <v>67176</v>
      </c>
      <c r="K719" s="105">
        <f t="shared" si="9"/>
        <v>63</v>
      </c>
      <c r="L719" s="411" t="str">
        <f t="shared" si="10"/>
        <v/>
      </c>
      <c r="M719" s="407" t="str">
        <f t="shared" si="2"/>
        <v/>
      </c>
      <c r="N719" s="407">
        <f t="shared" si="3"/>
        <v>0</v>
      </c>
      <c r="O719" s="407" t="str">
        <f t="shared" si="4"/>
        <v/>
      </c>
      <c r="P719" s="1"/>
    </row>
    <row r="720" ht="12.75" customHeight="1">
      <c r="A720" s="1">
        <v>709.0</v>
      </c>
      <c r="B720" s="408" t="str">
        <f t="shared" si="5"/>
        <v/>
      </c>
      <c r="C720" s="408">
        <f t="shared" si="6"/>
        <v>0</v>
      </c>
      <c r="D720" s="408" t="str">
        <f t="shared" si="7"/>
        <v/>
      </c>
      <c r="E720" s="176" t="str">
        <f t="shared" si="8"/>
        <v/>
      </c>
      <c r="F720" s="408" t="str">
        <f t="shared" si="11"/>
        <v/>
      </c>
      <c r="G720" s="408" t="str">
        <f t="shared" si="12"/>
        <v/>
      </c>
      <c r="H720" s="410">
        <f>IF(K720&gt;='Pro Forma Detail'!D$66,'Pro Forma Detail'!D$67,'Debt ReFi'!$B$5)</f>
        <v>0.0275</v>
      </c>
      <c r="I720" s="1" t="str">
        <f t="shared" si="1"/>
        <v/>
      </c>
      <c r="J720" s="406">
        <f t="shared" si="13"/>
        <v>67207</v>
      </c>
      <c r="K720" s="105">
        <f t="shared" si="9"/>
        <v>64</v>
      </c>
      <c r="L720" s="411" t="str">
        <f t="shared" si="10"/>
        <v/>
      </c>
      <c r="M720" s="407" t="str">
        <f t="shared" si="2"/>
        <v/>
      </c>
      <c r="N720" s="407">
        <f t="shared" si="3"/>
        <v>0</v>
      </c>
      <c r="O720" s="407" t="str">
        <f t="shared" si="4"/>
        <v/>
      </c>
      <c r="P720" s="1"/>
    </row>
    <row r="721" ht="12.75" customHeight="1">
      <c r="A721" s="1">
        <v>710.0</v>
      </c>
      <c r="B721" s="408" t="str">
        <f t="shared" si="5"/>
        <v/>
      </c>
      <c r="C721" s="408">
        <f t="shared" si="6"/>
        <v>0</v>
      </c>
      <c r="D721" s="408" t="str">
        <f t="shared" si="7"/>
        <v/>
      </c>
      <c r="E721" s="176" t="str">
        <f t="shared" si="8"/>
        <v/>
      </c>
      <c r="F721" s="408" t="str">
        <f t="shared" si="11"/>
        <v/>
      </c>
      <c r="G721" s="408" t="str">
        <f t="shared" si="12"/>
        <v/>
      </c>
      <c r="H721" s="410">
        <f>IF(K721&gt;='Pro Forma Detail'!D$66,'Pro Forma Detail'!D$67,'Debt ReFi'!$B$5)</f>
        <v>0.0275</v>
      </c>
      <c r="I721" s="1" t="str">
        <f t="shared" si="1"/>
        <v/>
      </c>
      <c r="J721" s="406">
        <f t="shared" si="13"/>
        <v>67238</v>
      </c>
      <c r="K721" s="105">
        <f t="shared" si="9"/>
        <v>64</v>
      </c>
      <c r="L721" s="411" t="str">
        <f t="shared" si="10"/>
        <v/>
      </c>
      <c r="M721" s="407" t="str">
        <f t="shared" si="2"/>
        <v/>
      </c>
      <c r="N721" s="407">
        <f t="shared" si="3"/>
        <v>0</v>
      </c>
      <c r="O721" s="407" t="str">
        <f t="shared" si="4"/>
        <v/>
      </c>
      <c r="P721" s="1"/>
    </row>
    <row r="722" ht="12.75" customHeight="1">
      <c r="A722" s="1">
        <v>711.0</v>
      </c>
      <c r="B722" s="408" t="str">
        <f t="shared" si="5"/>
        <v/>
      </c>
      <c r="C722" s="408">
        <f t="shared" si="6"/>
        <v>0</v>
      </c>
      <c r="D722" s="408" t="str">
        <f t="shared" si="7"/>
        <v/>
      </c>
      <c r="E722" s="176" t="str">
        <f t="shared" si="8"/>
        <v/>
      </c>
      <c r="F722" s="408" t="str">
        <f t="shared" si="11"/>
        <v/>
      </c>
      <c r="G722" s="408" t="str">
        <f t="shared" si="12"/>
        <v/>
      </c>
      <c r="H722" s="410">
        <f>IF(K722&gt;='Pro Forma Detail'!D$66,'Pro Forma Detail'!D$67,'Debt ReFi'!$B$5)</f>
        <v>0.0275</v>
      </c>
      <c r="I722" s="1" t="str">
        <f t="shared" si="1"/>
        <v/>
      </c>
      <c r="J722" s="406">
        <f t="shared" si="13"/>
        <v>67267</v>
      </c>
      <c r="K722" s="105">
        <f t="shared" si="9"/>
        <v>64</v>
      </c>
      <c r="L722" s="411" t="str">
        <f t="shared" si="10"/>
        <v/>
      </c>
      <c r="M722" s="407" t="str">
        <f t="shared" si="2"/>
        <v/>
      </c>
      <c r="N722" s="407">
        <f t="shared" si="3"/>
        <v>0</v>
      </c>
      <c r="O722" s="407" t="str">
        <f t="shared" si="4"/>
        <v/>
      </c>
      <c r="P722" s="1"/>
    </row>
    <row r="723" ht="12.75" customHeight="1">
      <c r="A723" s="1">
        <v>712.0</v>
      </c>
      <c r="B723" s="408" t="str">
        <f t="shared" si="5"/>
        <v/>
      </c>
      <c r="C723" s="408">
        <f t="shared" si="6"/>
        <v>0</v>
      </c>
      <c r="D723" s="408" t="str">
        <f t="shared" si="7"/>
        <v/>
      </c>
      <c r="E723" s="176" t="str">
        <f t="shared" si="8"/>
        <v/>
      </c>
      <c r="F723" s="408" t="str">
        <f t="shared" si="11"/>
        <v/>
      </c>
      <c r="G723" s="408" t="str">
        <f t="shared" si="12"/>
        <v/>
      </c>
      <c r="H723" s="410">
        <f>IF(K723&gt;='Pro Forma Detail'!D$66,'Pro Forma Detail'!D$67,'Debt ReFi'!$B$5)</f>
        <v>0.0275</v>
      </c>
      <c r="I723" s="1" t="str">
        <f t="shared" si="1"/>
        <v/>
      </c>
      <c r="J723" s="406">
        <f t="shared" si="13"/>
        <v>67298</v>
      </c>
      <c r="K723" s="105">
        <f t="shared" si="9"/>
        <v>64</v>
      </c>
      <c r="L723" s="411" t="str">
        <f t="shared" si="10"/>
        <v/>
      </c>
      <c r="M723" s="407" t="str">
        <f t="shared" si="2"/>
        <v/>
      </c>
      <c r="N723" s="407">
        <f t="shared" si="3"/>
        <v>0</v>
      </c>
      <c r="O723" s="407" t="str">
        <f t="shared" si="4"/>
        <v/>
      </c>
      <c r="P723" s="1"/>
    </row>
    <row r="724" ht="12.75" customHeight="1">
      <c r="A724" s="1">
        <v>713.0</v>
      </c>
      <c r="B724" s="408" t="str">
        <f t="shared" si="5"/>
        <v/>
      </c>
      <c r="C724" s="408">
        <f t="shared" si="6"/>
        <v>0</v>
      </c>
      <c r="D724" s="408" t="str">
        <f t="shared" si="7"/>
        <v/>
      </c>
      <c r="E724" s="176" t="str">
        <f t="shared" si="8"/>
        <v/>
      </c>
      <c r="F724" s="408" t="str">
        <f t="shared" si="11"/>
        <v/>
      </c>
      <c r="G724" s="408" t="str">
        <f t="shared" si="12"/>
        <v/>
      </c>
      <c r="H724" s="410">
        <f>IF(K724&gt;='Pro Forma Detail'!D$66,'Pro Forma Detail'!D$67,'Debt ReFi'!$B$5)</f>
        <v>0.0275</v>
      </c>
      <c r="I724" s="1" t="str">
        <f t="shared" si="1"/>
        <v/>
      </c>
      <c r="J724" s="406">
        <f t="shared" si="13"/>
        <v>67328</v>
      </c>
      <c r="K724" s="105">
        <f t="shared" si="9"/>
        <v>64</v>
      </c>
      <c r="L724" s="411" t="str">
        <f t="shared" si="10"/>
        <v/>
      </c>
      <c r="M724" s="407" t="str">
        <f t="shared" si="2"/>
        <v/>
      </c>
      <c r="N724" s="407">
        <f t="shared" si="3"/>
        <v>0</v>
      </c>
      <c r="O724" s="407" t="str">
        <f t="shared" si="4"/>
        <v/>
      </c>
      <c r="P724" s="1"/>
    </row>
    <row r="725" ht="12.75" customHeight="1">
      <c r="A725" s="1">
        <v>714.0</v>
      </c>
      <c r="B725" s="408" t="str">
        <f t="shared" si="5"/>
        <v/>
      </c>
      <c r="C725" s="408">
        <f t="shared" si="6"/>
        <v>0</v>
      </c>
      <c r="D725" s="408" t="str">
        <f t="shared" si="7"/>
        <v/>
      </c>
      <c r="E725" s="176" t="str">
        <f t="shared" si="8"/>
        <v/>
      </c>
      <c r="F725" s="408" t="str">
        <f t="shared" si="11"/>
        <v/>
      </c>
      <c r="G725" s="408" t="str">
        <f t="shared" si="12"/>
        <v/>
      </c>
      <c r="H725" s="410">
        <f>IF(K725&gt;='Pro Forma Detail'!D$66,'Pro Forma Detail'!D$67,'Debt ReFi'!$B$5)</f>
        <v>0.0275</v>
      </c>
      <c r="I725" s="1" t="str">
        <f t="shared" si="1"/>
        <v/>
      </c>
      <c r="J725" s="406">
        <f t="shared" si="13"/>
        <v>67359</v>
      </c>
      <c r="K725" s="105">
        <f t="shared" si="9"/>
        <v>64</v>
      </c>
      <c r="L725" s="411" t="str">
        <f t="shared" si="10"/>
        <v/>
      </c>
      <c r="M725" s="407" t="str">
        <f t="shared" si="2"/>
        <v/>
      </c>
      <c r="N725" s="407">
        <f t="shared" si="3"/>
        <v>0</v>
      </c>
      <c r="O725" s="407" t="str">
        <f t="shared" si="4"/>
        <v/>
      </c>
      <c r="P725" s="1"/>
    </row>
    <row r="726" ht="12.75" customHeight="1">
      <c r="A726" s="1">
        <v>715.0</v>
      </c>
      <c r="B726" s="408" t="str">
        <f t="shared" si="5"/>
        <v/>
      </c>
      <c r="C726" s="408">
        <f t="shared" si="6"/>
        <v>0</v>
      </c>
      <c r="D726" s="408" t="str">
        <f t="shared" si="7"/>
        <v/>
      </c>
      <c r="E726" s="176" t="str">
        <f t="shared" si="8"/>
        <v/>
      </c>
      <c r="F726" s="408" t="str">
        <f t="shared" si="11"/>
        <v/>
      </c>
      <c r="G726" s="408" t="str">
        <f t="shared" si="12"/>
        <v/>
      </c>
      <c r="H726" s="410">
        <f>IF(K726&gt;='Pro Forma Detail'!D$66,'Pro Forma Detail'!D$67,'Debt ReFi'!$B$5)</f>
        <v>0.0275</v>
      </c>
      <c r="I726" s="1" t="str">
        <f t="shared" si="1"/>
        <v/>
      </c>
      <c r="J726" s="406">
        <f t="shared" si="13"/>
        <v>67389</v>
      </c>
      <c r="K726" s="105">
        <f t="shared" si="9"/>
        <v>64</v>
      </c>
      <c r="L726" s="411" t="str">
        <f t="shared" si="10"/>
        <v/>
      </c>
      <c r="M726" s="407" t="str">
        <f t="shared" si="2"/>
        <v/>
      </c>
      <c r="N726" s="407">
        <f t="shared" si="3"/>
        <v>0</v>
      </c>
      <c r="O726" s="407" t="str">
        <f t="shared" si="4"/>
        <v/>
      </c>
      <c r="P726" s="1"/>
    </row>
    <row r="727" ht="12.75" customHeight="1">
      <c r="A727" s="1">
        <v>716.0</v>
      </c>
      <c r="B727" s="408" t="str">
        <f t="shared" si="5"/>
        <v/>
      </c>
      <c r="C727" s="408">
        <f t="shared" si="6"/>
        <v>0</v>
      </c>
      <c r="D727" s="408" t="str">
        <f t="shared" si="7"/>
        <v/>
      </c>
      <c r="E727" s="176" t="str">
        <f t="shared" si="8"/>
        <v/>
      </c>
      <c r="F727" s="408" t="str">
        <f t="shared" si="11"/>
        <v/>
      </c>
      <c r="G727" s="408" t="str">
        <f t="shared" si="12"/>
        <v/>
      </c>
      <c r="H727" s="410">
        <f>IF(K727&gt;='Pro Forma Detail'!D$66,'Pro Forma Detail'!D$67,'Debt ReFi'!$B$5)</f>
        <v>0.0275</v>
      </c>
      <c r="I727" s="1" t="str">
        <f t="shared" si="1"/>
        <v/>
      </c>
      <c r="J727" s="406">
        <f t="shared" si="13"/>
        <v>67420</v>
      </c>
      <c r="K727" s="105">
        <f t="shared" si="9"/>
        <v>64</v>
      </c>
      <c r="L727" s="411" t="str">
        <f t="shared" si="10"/>
        <v/>
      </c>
      <c r="M727" s="407" t="str">
        <f t="shared" si="2"/>
        <v/>
      </c>
      <c r="N727" s="407">
        <f t="shared" si="3"/>
        <v>0</v>
      </c>
      <c r="O727" s="407" t="str">
        <f t="shared" si="4"/>
        <v/>
      </c>
      <c r="P727" s="1"/>
    </row>
    <row r="728" ht="12.75" customHeight="1">
      <c r="A728" s="1">
        <v>717.0</v>
      </c>
      <c r="B728" s="408" t="str">
        <f t="shared" si="5"/>
        <v/>
      </c>
      <c r="C728" s="408">
        <f t="shared" si="6"/>
        <v>0</v>
      </c>
      <c r="D728" s="408" t="str">
        <f t="shared" si="7"/>
        <v/>
      </c>
      <c r="E728" s="176" t="str">
        <f t="shared" si="8"/>
        <v/>
      </c>
      <c r="F728" s="408" t="str">
        <f t="shared" si="11"/>
        <v/>
      </c>
      <c r="G728" s="408" t="str">
        <f t="shared" si="12"/>
        <v/>
      </c>
      <c r="H728" s="410">
        <f>IF(K728&gt;='Pro Forma Detail'!D$66,'Pro Forma Detail'!D$67,'Debt ReFi'!$B$5)</f>
        <v>0.0275</v>
      </c>
      <c r="I728" s="1" t="str">
        <f t="shared" si="1"/>
        <v/>
      </c>
      <c r="J728" s="406">
        <f t="shared" si="13"/>
        <v>67451</v>
      </c>
      <c r="K728" s="105">
        <f t="shared" si="9"/>
        <v>64</v>
      </c>
      <c r="L728" s="411" t="str">
        <f t="shared" si="10"/>
        <v/>
      </c>
      <c r="M728" s="407" t="str">
        <f t="shared" si="2"/>
        <v/>
      </c>
      <c r="N728" s="407">
        <f t="shared" si="3"/>
        <v>0</v>
      </c>
      <c r="O728" s="407" t="str">
        <f t="shared" si="4"/>
        <v/>
      </c>
      <c r="P728" s="1"/>
    </row>
    <row r="729" ht="12.75" customHeight="1">
      <c r="A729" s="1">
        <v>718.0</v>
      </c>
      <c r="B729" s="408" t="str">
        <f t="shared" si="5"/>
        <v/>
      </c>
      <c r="C729" s="408">
        <f t="shared" si="6"/>
        <v>0</v>
      </c>
      <c r="D729" s="408" t="str">
        <f t="shared" si="7"/>
        <v/>
      </c>
      <c r="E729" s="176" t="str">
        <f t="shared" si="8"/>
        <v/>
      </c>
      <c r="F729" s="408" t="str">
        <f t="shared" si="11"/>
        <v/>
      </c>
      <c r="G729" s="408" t="str">
        <f t="shared" si="12"/>
        <v/>
      </c>
      <c r="H729" s="410">
        <f>IF(K729&gt;='Pro Forma Detail'!D$66,'Pro Forma Detail'!D$67,'Debt ReFi'!$B$5)</f>
        <v>0.0275</v>
      </c>
      <c r="I729" s="1" t="str">
        <f t="shared" si="1"/>
        <v/>
      </c>
      <c r="J729" s="406">
        <f t="shared" si="13"/>
        <v>67481</v>
      </c>
      <c r="K729" s="105">
        <f t="shared" si="9"/>
        <v>64</v>
      </c>
      <c r="L729" s="411" t="str">
        <f t="shared" si="10"/>
        <v/>
      </c>
      <c r="M729" s="407" t="str">
        <f t="shared" si="2"/>
        <v/>
      </c>
      <c r="N729" s="407">
        <f t="shared" si="3"/>
        <v>0</v>
      </c>
      <c r="O729" s="407" t="str">
        <f t="shared" si="4"/>
        <v/>
      </c>
      <c r="P729" s="1"/>
    </row>
    <row r="730" ht="12.75" customHeight="1">
      <c r="A730" s="1">
        <v>719.0</v>
      </c>
      <c r="B730" s="408" t="str">
        <f t="shared" si="5"/>
        <v/>
      </c>
      <c r="C730" s="408">
        <f t="shared" si="6"/>
        <v>0</v>
      </c>
      <c r="D730" s="408" t="str">
        <f t="shared" si="7"/>
        <v/>
      </c>
      <c r="E730" s="176" t="str">
        <f t="shared" si="8"/>
        <v/>
      </c>
      <c r="F730" s="408" t="str">
        <f t="shared" si="11"/>
        <v/>
      </c>
      <c r="G730" s="408" t="str">
        <f t="shared" si="12"/>
        <v/>
      </c>
      <c r="H730" s="410">
        <f>IF(K730&gt;='Pro Forma Detail'!D$66,'Pro Forma Detail'!D$67,'Debt ReFi'!$B$5)</f>
        <v>0.0275</v>
      </c>
      <c r="I730" s="1" t="str">
        <f t="shared" si="1"/>
        <v/>
      </c>
      <c r="J730" s="406">
        <f t="shared" si="13"/>
        <v>67512</v>
      </c>
      <c r="K730" s="105">
        <f t="shared" si="9"/>
        <v>64</v>
      </c>
      <c r="L730" s="411" t="str">
        <f t="shared" si="10"/>
        <v/>
      </c>
      <c r="M730" s="407" t="str">
        <f t="shared" si="2"/>
        <v/>
      </c>
      <c r="N730" s="407">
        <f t="shared" si="3"/>
        <v>0</v>
      </c>
      <c r="O730" s="407" t="str">
        <f t="shared" si="4"/>
        <v/>
      </c>
      <c r="P730" s="1"/>
    </row>
    <row r="731" ht="12.75" customHeight="1">
      <c r="A731" s="1">
        <v>720.0</v>
      </c>
      <c r="B731" s="408" t="str">
        <f t="shared" si="5"/>
        <v/>
      </c>
      <c r="C731" s="408">
        <f t="shared" si="6"/>
        <v>0</v>
      </c>
      <c r="D731" s="408" t="str">
        <f t="shared" si="7"/>
        <v/>
      </c>
      <c r="E731" s="176" t="str">
        <f t="shared" si="8"/>
        <v/>
      </c>
      <c r="F731" s="408" t="str">
        <f t="shared" si="11"/>
        <v/>
      </c>
      <c r="G731" s="408" t="str">
        <f t="shared" si="12"/>
        <v/>
      </c>
      <c r="H731" s="410">
        <f>IF(K731&gt;='Pro Forma Detail'!D$66,'Pro Forma Detail'!D$67,'Debt ReFi'!$B$5)</f>
        <v>0.0275</v>
      </c>
      <c r="I731" s="1" t="str">
        <f t="shared" si="1"/>
        <v/>
      </c>
      <c r="J731" s="406">
        <f t="shared" si="13"/>
        <v>67542</v>
      </c>
      <c r="K731" s="105">
        <f t="shared" si="9"/>
        <v>64</v>
      </c>
      <c r="L731" s="411" t="str">
        <f t="shared" si="10"/>
        <v/>
      </c>
      <c r="M731" s="407" t="str">
        <f t="shared" si="2"/>
        <v/>
      </c>
      <c r="N731" s="407">
        <f t="shared" si="3"/>
        <v>0</v>
      </c>
      <c r="O731" s="407" t="str">
        <f t="shared" si="4"/>
        <v/>
      </c>
      <c r="P731" s="1"/>
    </row>
    <row r="732" ht="12.75" customHeight="1">
      <c r="A732" s="1">
        <v>721.0</v>
      </c>
      <c r="B732" s="408" t="str">
        <f t="shared" si="5"/>
        <v/>
      </c>
      <c r="C732" s="408">
        <f t="shared" si="6"/>
        <v>0</v>
      </c>
      <c r="D732" s="408" t="str">
        <f t="shared" si="7"/>
        <v/>
      </c>
      <c r="E732" s="176" t="str">
        <f t="shared" si="8"/>
        <v/>
      </c>
      <c r="F732" s="408" t="str">
        <f t="shared" si="11"/>
        <v/>
      </c>
      <c r="G732" s="408" t="str">
        <f t="shared" si="12"/>
        <v/>
      </c>
      <c r="H732" s="410">
        <f>IF(K732&gt;='Pro Forma Detail'!D$66,'Pro Forma Detail'!D$67,'Debt ReFi'!$B$5)</f>
        <v>0.0275</v>
      </c>
      <c r="I732" s="1" t="str">
        <f t="shared" si="1"/>
        <v/>
      </c>
      <c r="J732" s="406">
        <f t="shared" si="13"/>
        <v>67573</v>
      </c>
      <c r="K732" s="105">
        <f t="shared" si="9"/>
        <v>65</v>
      </c>
      <c r="L732" s="411" t="str">
        <f t="shared" si="10"/>
        <v/>
      </c>
      <c r="M732" s="407" t="str">
        <f t="shared" si="2"/>
        <v/>
      </c>
      <c r="N732" s="407">
        <f t="shared" si="3"/>
        <v>0</v>
      </c>
      <c r="O732" s="407" t="str">
        <f t="shared" si="4"/>
        <v/>
      </c>
      <c r="P732" s="1"/>
    </row>
    <row r="733" ht="12.75" customHeight="1">
      <c r="A733" s="1">
        <v>722.0</v>
      </c>
      <c r="B733" s="408" t="str">
        <f t="shared" si="5"/>
        <v/>
      </c>
      <c r="C733" s="408">
        <f t="shared" si="6"/>
        <v>0</v>
      </c>
      <c r="D733" s="408" t="str">
        <f t="shared" si="7"/>
        <v/>
      </c>
      <c r="E733" s="176" t="str">
        <f t="shared" si="8"/>
        <v/>
      </c>
      <c r="F733" s="408" t="str">
        <f t="shared" si="11"/>
        <v/>
      </c>
      <c r="G733" s="408" t="str">
        <f t="shared" si="12"/>
        <v/>
      </c>
      <c r="H733" s="410">
        <f>IF(K733&gt;='Pro Forma Detail'!D$66,'Pro Forma Detail'!D$67,'Debt ReFi'!$B$5)</f>
        <v>0.0275</v>
      </c>
      <c r="I733" s="1" t="str">
        <f t="shared" si="1"/>
        <v/>
      </c>
      <c r="J733" s="406">
        <f t="shared" si="13"/>
        <v>67604</v>
      </c>
      <c r="K733" s="105">
        <f t="shared" si="9"/>
        <v>65</v>
      </c>
      <c r="L733" s="411" t="str">
        <f t="shared" si="10"/>
        <v/>
      </c>
      <c r="M733" s="407" t="str">
        <f t="shared" si="2"/>
        <v/>
      </c>
      <c r="N733" s="407">
        <f t="shared" si="3"/>
        <v>0</v>
      </c>
      <c r="O733" s="407" t="str">
        <f t="shared" si="4"/>
        <v/>
      </c>
      <c r="P733" s="1"/>
    </row>
    <row r="734" ht="12.75" customHeight="1">
      <c r="A734" s="1">
        <v>723.0</v>
      </c>
      <c r="B734" s="408" t="str">
        <f t="shared" si="5"/>
        <v/>
      </c>
      <c r="C734" s="408">
        <f t="shared" si="6"/>
        <v>0</v>
      </c>
      <c r="D734" s="408" t="str">
        <f t="shared" si="7"/>
        <v/>
      </c>
      <c r="E734" s="176" t="str">
        <f t="shared" si="8"/>
        <v/>
      </c>
      <c r="F734" s="408" t="str">
        <f t="shared" si="11"/>
        <v/>
      </c>
      <c r="G734" s="408" t="str">
        <f t="shared" si="12"/>
        <v/>
      </c>
      <c r="H734" s="410">
        <f>IF(K734&gt;='Pro Forma Detail'!D$66,'Pro Forma Detail'!D$67,'Debt ReFi'!$B$5)</f>
        <v>0.0275</v>
      </c>
      <c r="I734" s="1" t="str">
        <f t="shared" si="1"/>
        <v/>
      </c>
      <c r="J734" s="406">
        <f t="shared" si="13"/>
        <v>67632</v>
      </c>
      <c r="K734" s="105">
        <f t="shared" si="9"/>
        <v>65</v>
      </c>
      <c r="L734" s="411" t="str">
        <f t="shared" si="10"/>
        <v/>
      </c>
      <c r="M734" s="407" t="str">
        <f t="shared" si="2"/>
        <v/>
      </c>
      <c r="N734" s="407">
        <f t="shared" si="3"/>
        <v>0</v>
      </c>
      <c r="O734" s="407" t="str">
        <f t="shared" si="4"/>
        <v/>
      </c>
      <c r="P734" s="1"/>
    </row>
    <row r="735" ht="12.75" customHeight="1">
      <c r="A735" s="1">
        <v>724.0</v>
      </c>
      <c r="B735" s="408" t="str">
        <f t="shared" si="5"/>
        <v/>
      </c>
      <c r="C735" s="408">
        <f t="shared" si="6"/>
        <v>0</v>
      </c>
      <c r="D735" s="408" t="str">
        <f t="shared" si="7"/>
        <v/>
      </c>
      <c r="E735" s="176" t="str">
        <f t="shared" si="8"/>
        <v/>
      </c>
      <c r="F735" s="408" t="str">
        <f t="shared" si="11"/>
        <v/>
      </c>
      <c r="G735" s="408" t="str">
        <f t="shared" si="12"/>
        <v/>
      </c>
      <c r="H735" s="410">
        <f>IF(K735&gt;='Pro Forma Detail'!D$66,'Pro Forma Detail'!D$67,'Debt ReFi'!$B$5)</f>
        <v>0.0275</v>
      </c>
      <c r="I735" s="1" t="str">
        <f t="shared" si="1"/>
        <v/>
      </c>
      <c r="J735" s="406">
        <f t="shared" si="13"/>
        <v>67663</v>
      </c>
      <c r="K735" s="105">
        <f t="shared" si="9"/>
        <v>65</v>
      </c>
      <c r="L735" s="411" t="str">
        <f t="shared" si="10"/>
        <v/>
      </c>
      <c r="M735" s="407" t="str">
        <f t="shared" si="2"/>
        <v/>
      </c>
      <c r="N735" s="407">
        <f t="shared" si="3"/>
        <v>0</v>
      </c>
      <c r="O735" s="407" t="str">
        <f t="shared" si="4"/>
        <v/>
      </c>
      <c r="P735" s="1"/>
    </row>
    <row r="736" ht="12.75" customHeight="1">
      <c r="A736" s="1">
        <v>725.0</v>
      </c>
      <c r="B736" s="408" t="str">
        <f t="shared" si="5"/>
        <v/>
      </c>
      <c r="C736" s="408">
        <f t="shared" si="6"/>
        <v>0</v>
      </c>
      <c r="D736" s="408" t="str">
        <f t="shared" si="7"/>
        <v/>
      </c>
      <c r="E736" s="176" t="str">
        <f t="shared" si="8"/>
        <v/>
      </c>
      <c r="F736" s="408" t="str">
        <f t="shared" si="11"/>
        <v/>
      </c>
      <c r="G736" s="408" t="str">
        <f t="shared" si="12"/>
        <v/>
      </c>
      <c r="H736" s="410">
        <f>IF(K736&gt;='Pro Forma Detail'!D$66,'Pro Forma Detail'!D$67,'Debt ReFi'!$B$5)</f>
        <v>0.0275</v>
      </c>
      <c r="I736" s="1" t="str">
        <f t="shared" si="1"/>
        <v/>
      </c>
      <c r="J736" s="406">
        <f t="shared" si="13"/>
        <v>67693</v>
      </c>
      <c r="K736" s="105">
        <f t="shared" si="9"/>
        <v>65</v>
      </c>
      <c r="L736" s="411" t="str">
        <f t="shared" si="10"/>
        <v/>
      </c>
      <c r="M736" s="407" t="str">
        <f t="shared" si="2"/>
        <v/>
      </c>
      <c r="N736" s="407">
        <f t="shared" si="3"/>
        <v>0</v>
      </c>
      <c r="O736" s="407" t="str">
        <f t="shared" si="4"/>
        <v/>
      </c>
      <c r="P736" s="1"/>
    </row>
    <row r="737" ht="12.75" customHeight="1">
      <c r="A737" s="1">
        <v>726.0</v>
      </c>
      <c r="B737" s="408" t="str">
        <f t="shared" si="5"/>
        <v/>
      </c>
      <c r="C737" s="408">
        <f t="shared" si="6"/>
        <v>0</v>
      </c>
      <c r="D737" s="408" t="str">
        <f t="shared" si="7"/>
        <v/>
      </c>
      <c r="E737" s="176" t="str">
        <f t="shared" si="8"/>
        <v/>
      </c>
      <c r="F737" s="408" t="str">
        <f t="shared" si="11"/>
        <v/>
      </c>
      <c r="G737" s="408" t="str">
        <f t="shared" si="12"/>
        <v/>
      </c>
      <c r="H737" s="410">
        <f>IF(K737&gt;='Pro Forma Detail'!D$66,'Pro Forma Detail'!D$67,'Debt ReFi'!$B$5)</f>
        <v>0.0275</v>
      </c>
      <c r="I737" s="1" t="str">
        <f t="shared" si="1"/>
        <v/>
      </c>
      <c r="J737" s="406">
        <f t="shared" si="13"/>
        <v>67724</v>
      </c>
      <c r="K737" s="105">
        <f t="shared" si="9"/>
        <v>65</v>
      </c>
      <c r="L737" s="411" t="str">
        <f t="shared" si="10"/>
        <v/>
      </c>
      <c r="M737" s="407" t="str">
        <f t="shared" si="2"/>
        <v/>
      </c>
      <c r="N737" s="407">
        <f t="shared" si="3"/>
        <v>0</v>
      </c>
      <c r="O737" s="407" t="str">
        <f t="shared" si="4"/>
        <v/>
      </c>
      <c r="P737" s="1"/>
    </row>
    <row r="738" ht="12.75" customHeight="1">
      <c r="A738" s="1">
        <v>727.0</v>
      </c>
      <c r="B738" s="408" t="str">
        <f t="shared" si="5"/>
        <v/>
      </c>
      <c r="C738" s="408">
        <f t="shared" si="6"/>
        <v>0</v>
      </c>
      <c r="D738" s="408" t="str">
        <f t="shared" si="7"/>
        <v/>
      </c>
      <c r="E738" s="176" t="str">
        <f t="shared" si="8"/>
        <v/>
      </c>
      <c r="F738" s="408" t="str">
        <f t="shared" si="11"/>
        <v/>
      </c>
      <c r="G738" s="408" t="str">
        <f t="shared" si="12"/>
        <v/>
      </c>
      <c r="H738" s="410">
        <f>IF(K738&gt;='Pro Forma Detail'!D$66,'Pro Forma Detail'!D$67,'Debt ReFi'!$B$5)</f>
        <v>0.0275</v>
      </c>
      <c r="I738" s="1" t="str">
        <f t="shared" si="1"/>
        <v/>
      </c>
      <c r="J738" s="406">
        <f t="shared" si="13"/>
        <v>67754</v>
      </c>
      <c r="K738" s="105">
        <f t="shared" si="9"/>
        <v>65</v>
      </c>
      <c r="L738" s="411" t="str">
        <f t="shared" si="10"/>
        <v/>
      </c>
      <c r="M738" s="407" t="str">
        <f t="shared" si="2"/>
        <v/>
      </c>
      <c r="N738" s="407">
        <f t="shared" si="3"/>
        <v>0</v>
      </c>
      <c r="O738" s="407" t="str">
        <f t="shared" si="4"/>
        <v/>
      </c>
      <c r="P738" s="1"/>
    </row>
    <row r="739" ht="12.75" customHeight="1">
      <c r="A739" s="1">
        <v>728.0</v>
      </c>
      <c r="B739" s="408" t="str">
        <f t="shared" si="5"/>
        <v/>
      </c>
      <c r="C739" s="408">
        <f t="shared" si="6"/>
        <v>0</v>
      </c>
      <c r="D739" s="408" t="str">
        <f t="shared" si="7"/>
        <v/>
      </c>
      <c r="E739" s="176" t="str">
        <f t="shared" si="8"/>
        <v/>
      </c>
      <c r="F739" s="408" t="str">
        <f t="shared" si="11"/>
        <v/>
      </c>
      <c r="G739" s="408" t="str">
        <f t="shared" si="12"/>
        <v/>
      </c>
      <c r="H739" s="410">
        <f>IF(K739&gt;='Pro Forma Detail'!D$66,'Pro Forma Detail'!D$67,'Debt ReFi'!$B$5)</f>
        <v>0.0275</v>
      </c>
      <c r="I739" s="1" t="str">
        <f t="shared" si="1"/>
        <v/>
      </c>
      <c r="J739" s="406">
        <f t="shared" si="13"/>
        <v>67785</v>
      </c>
      <c r="K739" s="105">
        <f t="shared" si="9"/>
        <v>65</v>
      </c>
      <c r="L739" s="411" t="str">
        <f t="shared" si="10"/>
        <v/>
      </c>
      <c r="M739" s="407" t="str">
        <f t="shared" si="2"/>
        <v/>
      </c>
      <c r="N739" s="407">
        <f t="shared" si="3"/>
        <v>0</v>
      </c>
      <c r="O739" s="407" t="str">
        <f t="shared" si="4"/>
        <v/>
      </c>
      <c r="P739" s="1"/>
    </row>
    <row r="740" ht="12.75" customHeight="1">
      <c r="A740" s="1">
        <v>729.0</v>
      </c>
      <c r="B740" s="408" t="str">
        <f t="shared" si="5"/>
        <v/>
      </c>
      <c r="C740" s="408">
        <f t="shared" si="6"/>
        <v>0</v>
      </c>
      <c r="D740" s="408" t="str">
        <f t="shared" si="7"/>
        <v/>
      </c>
      <c r="E740" s="176" t="str">
        <f t="shared" si="8"/>
        <v/>
      </c>
      <c r="F740" s="408" t="str">
        <f t="shared" si="11"/>
        <v/>
      </c>
      <c r="G740" s="408" t="str">
        <f t="shared" si="12"/>
        <v/>
      </c>
      <c r="H740" s="410">
        <f>IF(K740&gt;='Pro Forma Detail'!D$66,'Pro Forma Detail'!D$67,'Debt ReFi'!$B$5)</f>
        <v>0.0275</v>
      </c>
      <c r="I740" s="1" t="str">
        <f t="shared" si="1"/>
        <v/>
      </c>
      <c r="J740" s="406">
        <f t="shared" si="13"/>
        <v>67816</v>
      </c>
      <c r="K740" s="105">
        <f t="shared" si="9"/>
        <v>65</v>
      </c>
      <c r="L740" s="411" t="str">
        <f t="shared" si="10"/>
        <v/>
      </c>
      <c r="M740" s="407" t="str">
        <f t="shared" si="2"/>
        <v/>
      </c>
      <c r="N740" s="407">
        <f t="shared" si="3"/>
        <v>0</v>
      </c>
      <c r="O740" s="407" t="str">
        <f t="shared" si="4"/>
        <v/>
      </c>
      <c r="P740" s="1"/>
    </row>
    <row r="741" ht="12.75" customHeight="1">
      <c r="A741" s="1">
        <v>730.0</v>
      </c>
      <c r="B741" s="408" t="str">
        <f t="shared" si="5"/>
        <v/>
      </c>
      <c r="C741" s="408">
        <f t="shared" si="6"/>
        <v>0</v>
      </c>
      <c r="D741" s="408" t="str">
        <f t="shared" si="7"/>
        <v/>
      </c>
      <c r="E741" s="176" t="str">
        <f t="shared" si="8"/>
        <v/>
      </c>
      <c r="F741" s="408" t="str">
        <f t="shared" si="11"/>
        <v/>
      </c>
      <c r="G741" s="408" t="str">
        <f t="shared" si="12"/>
        <v/>
      </c>
      <c r="H741" s="410">
        <f>IF(K741&gt;='Pro Forma Detail'!D$66,'Pro Forma Detail'!D$67,'Debt ReFi'!$B$5)</f>
        <v>0.0275</v>
      </c>
      <c r="I741" s="1" t="str">
        <f t="shared" si="1"/>
        <v/>
      </c>
      <c r="J741" s="406">
        <f t="shared" si="13"/>
        <v>67846</v>
      </c>
      <c r="K741" s="105">
        <f t="shared" si="9"/>
        <v>65</v>
      </c>
      <c r="L741" s="411" t="str">
        <f t="shared" si="10"/>
        <v/>
      </c>
      <c r="M741" s="407" t="str">
        <f t="shared" si="2"/>
        <v/>
      </c>
      <c r="N741" s="407">
        <f t="shared" si="3"/>
        <v>0</v>
      </c>
      <c r="O741" s="407" t="str">
        <f t="shared" si="4"/>
        <v/>
      </c>
      <c r="P741" s="1"/>
    </row>
    <row r="742" ht="12.75" customHeight="1">
      <c r="A742" s="1">
        <v>731.0</v>
      </c>
      <c r="B742" s="408" t="str">
        <f t="shared" si="5"/>
        <v/>
      </c>
      <c r="C742" s="408">
        <f t="shared" si="6"/>
        <v>0</v>
      </c>
      <c r="D742" s="408" t="str">
        <f t="shared" si="7"/>
        <v/>
      </c>
      <c r="E742" s="176" t="str">
        <f t="shared" si="8"/>
        <v/>
      </c>
      <c r="F742" s="408" t="str">
        <f t="shared" si="11"/>
        <v/>
      </c>
      <c r="G742" s="408" t="str">
        <f t="shared" si="12"/>
        <v/>
      </c>
      <c r="H742" s="410">
        <f>IF(K742&gt;='Pro Forma Detail'!D$66,'Pro Forma Detail'!D$67,'Debt ReFi'!$B$5)</f>
        <v>0.0275</v>
      </c>
      <c r="I742" s="1" t="str">
        <f t="shared" si="1"/>
        <v/>
      </c>
      <c r="J742" s="406">
        <f t="shared" si="13"/>
        <v>67877</v>
      </c>
      <c r="K742" s="105">
        <f t="shared" si="9"/>
        <v>65</v>
      </c>
      <c r="L742" s="411" t="str">
        <f t="shared" si="10"/>
        <v/>
      </c>
      <c r="M742" s="407" t="str">
        <f t="shared" si="2"/>
        <v/>
      </c>
      <c r="N742" s="407">
        <f t="shared" si="3"/>
        <v>0</v>
      </c>
      <c r="O742" s="407" t="str">
        <f t="shared" si="4"/>
        <v/>
      </c>
      <c r="P742" s="1"/>
    </row>
    <row r="743" ht="12.75" customHeight="1">
      <c r="A743" s="1">
        <v>732.0</v>
      </c>
      <c r="B743" s="408" t="str">
        <f t="shared" si="5"/>
        <v/>
      </c>
      <c r="C743" s="408">
        <f t="shared" si="6"/>
        <v>0</v>
      </c>
      <c r="D743" s="408" t="str">
        <f t="shared" si="7"/>
        <v/>
      </c>
      <c r="E743" s="176" t="str">
        <f t="shared" si="8"/>
        <v/>
      </c>
      <c r="F743" s="408" t="str">
        <f t="shared" si="11"/>
        <v/>
      </c>
      <c r="G743" s="408" t="str">
        <f t="shared" si="12"/>
        <v/>
      </c>
      <c r="H743" s="410">
        <f>IF(K743&gt;='Pro Forma Detail'!D$66,'Pro Forma Detail'!D$67,'Debt ReFi'!$B$5)</f>
        <v>0.0275</v>
      </c>
      <c r="I743" s="1" t="str">
        <f t="shared" si="1"/>
        <v/>
      </c>
      <c r="J743" s="406">
        <f t="shared" si="13"/>
        <v>67907</v>
      </c>
      <c r="K743" s="105">
        <f t="shared" si="9"/>
        <v>65</v>
      </c>
      <c r="L743" s="411" t="str">
        <f t="shared" si="10"/>
        <v/>
      </c>
      <c r="M743" s="407" t="str">
        <f t="shared" si="2"/>
        <v/>
      </c>
      <c r="N743" s="407">
        <f t="shared" si="3"/>
        <v>0</v>
      </c>
      <c r="O743" s="407" t="str">
        <f t="shared" si="4"/>
        <v/>
      </c>
      <c r="P743" s="1"/>
    </row>
    <row r="744" ht="12.75" customHeight="1">
      <c r="A744" s="1">
        <v>733.0</v>
      </c>
      <c r="B744" s="408" t="str">
        <f t="shared" si="5"/>
        <v/>
      </c>
      <c r="C744" s="408">
        <f t="shared" si="6"/>
        <v>0</v>
      </c>
      <c r="D744" s="408" t="str">
        <f t="shared" si="7"/>
        <v/>
      </c>
      <c r="E744" s="176" t="str">
        <f t="shared" si="8"/>
        <v/>
      </c>
      <c r="F744" s="408" t="str">
        <f t="shared" si="11"/>
        <v/>
      </c>
      <c r="G744" s="408" t="str">
        <f t="shared" si="12"/>
        <v/>
      </c>
      <c r="H744" s="410">
        <f>IF(K744&gt;='Pro Forma Detail'!D$66,'Pro Forma Detail'!D$67,'Debt ReFi'!$B$5)</f>
        <v>0.0275</v>
      </c>
      <c r="I744" s="1" t="str">
        <f t="shared" si="1"/>
        <v/>
      </c>
      <c r="J744" s="406">
        <f t="shared" si="13"/>
        <v>67938</v>
      </c>
      <c r="K744" s="105">
        <f t="shared" si="9"/>
        <v>66</v>
      </c>
      <c r="L744" s="411" t="str">
        <f t="shared" si="10"/>
        <v/>
      </c>
      <c r="M744" s="407" t="str">
        <f t="shared" si="2"/>
        <v/>
      </c>
      <c r="N744" s="407">
        <f t="shared" si="3"/>
        <v>0</v>
      </c>
      <c r="O744" s="407" t="str">
        <f t="shared" si="4"/>
        <v/>
      </c>
      <c r="P744" s="1"/>
    </row>
    <row r="745" ht="12.75" customHeight="1">
      <c r="A745" s="1">
        <v>734.0</v>
      </c>
      <c r="B745" s="408" t="str">
        <f t="shared" si="5"/>
        <v/>
      </c>
      <c r="C745" s="408">
        <f t="shared" si="6"/>
        <v>0</v>
      </c>
      <c r="D745" s="408" t="str">
        <f t="shared" si="7"/>
        <v/>
      </c>
      <c r="E745" s="176" t="str">
        <f t="shared" si="8"/>
        <v/>
      </c>
      <c r="F745" s="408" t="str">
        <f t="shared" si="11"/>
        <v/>
      </c>
      <c r="G745" s="408" t="str">
        <f t="shared" si="12"/>
        <v/>
      </c>
      <c r="H745" s="410">
        <f>IF(K745&gt;='Pro Forma Detail'!D$66,'Pro Forma Detail'!D$67,'Debt ReFi'!$B$5)</f>
        <v>0.0275</v>
      </c>
      <c r="I745" s="1" t="str">
        <f t="shared" si="1"/>
        <v/>
      </c>
      <c r="J745" s="406">
        <f t="shared" si="13"/>
        <v>67969</v>
      </c>
      <c r="K745" s="105">
        <f t="shared" si="9"/>
        <v>66</v>
      </c>
      <c r="L745" s="411" t="str">
        <f t="shared" si="10"/>
        <v/>
      </c>
      <c r="M745" s="407" t="str">
        <f t="shared" si="2"/>
        <v/>
      </c>
      <c r="N745" s="407">
        <f t="shared" si="3"/>
        <v>0</v>
      </c>
      <c r="O745" s="407" t="str">
        <f t="shared" si="4"/>
        <v/>
      </c>
      <c r="P745" s="1"/>
    </row>
    <row r="746" ht="12.75" customHeight="1">
      <c r="A746" s="1">
        <v>735.0</v>
      </c>
      <c r="B746" s="408" t="str">
        <f t="shared" si="5"/>
        <v/>
      </c>
      <c r="C746" s="408">
        <f t="shared" si="6"/>
        <v>0</v>
      </c>
      <c r="D746" s="408" t="str">
        <f t="shared" si="7"/>
        <v/>
      </c>
      <c r="E746" s="176" t="str">
        <f t="shared" si="8"/>
        <v/>
      </c>
      <c r="F746" s="408" t="str">
        <f t="shared" si="11"/>
        <v/>
      </c>
      <c r="G746" s="408" t="str">
        <f t="shared" si="12"/>
        <v/>
      </c>
      <c r="H746" s="410">
        <f>IF(K746&gt;='Pro Forma Detail'!D$66,'Pro Forma Detail'!D$67,'Debt ReFi'!$B$5)</f>
        <v>0.0275</v>
      </c>
      <c r="I746" s="1" t="str">
        <f t="shared" si="1"/>
        <v/>
      </c>
      <c r="J746" s="406">
        <f t="shared" si="13"/>
        <v>67997</v>
      </c>
      <c r="K746" s="105">
        <f t="shared" si="9"/>
        <v>66</v>
      </c>
      <c r="L746" s="411" t="str">
        <f t="shared" si="10"/>
        <v/>
      </c>
      <c r="M746" s="407" t="str">
        <f t="shared" si="2"/>
        <v/>
      </c>
      <c r="N746" s="407">
        <f t="shared" si="3"/>
        <v>0</v>
      </c>
      <c r="O746" s="407" t="str">
        <f t="shared" si="4"/>
        <v/>
      </c>
      <c r="P746" s="1"/>
    </row>
    <row r="747" ht="12.75" customHeight="1">
      <c r="A747" s="1">
        <v>736.0</v>
      </c>
      <c r="B747" s="408" t="str">
        <f t="shared" si="5"/>
        <v/>
      </c>
      <c r="C747" s="408">
        <f t="shared" si="6"/>
        <v>0</v>
      </c>
      <c r="D747" s="408" t="str">
        <f t="shared" si="7"/>
        <v/>
      </c>
      <c r="E747" s="176" t="str">
        <f t="shared" si="8"/>
        <v/>
      </c>
      <c r="F747" s="408" t="str">
        <f t="shared" si="11"/>
        <v/>
      </c>
      <c r="G747" s="408" t="str">
        <f t="shared" si="12"/>
        <v/>
      </c>
      <c r="H747" s="410">
        <f>IF(K747&gt;='Pro Forma Detail'!D$66,'Pro Forma Detail'!D$67,'Debt ReFi'!$B$5)</f>
        <v>0.0275</v>
      </c>
      <c r="I747" s="1" t="str">
        <f t="shared" si="1"/>
        <v/>
      </c>
      <c r="J747" s="406">
        <f t="shared" si="13"/>
        <v>68028</v>
      </c>
      <c r="K747" s="105">
        <f t="shared" si="9"/>
        <v>66</v>
      </c>
      <c r="L747" s="411" t="str">
        <f t="shared" si="10"/>
        <v/>
      </c>
      <c r="M747" s="407" t="str">
        <f t="shared" si="2"/>
        <v/>
      </c>
      <c r="N747" s="407">
        <f t="shared" si="3"/>
        <v>0</v>
      </c>
      <c r="O747" s="407" t="str">
        <f t="shared" si="4"/>
        <v/>
      </c>
      <c r="P747" s="1"/>
    </row>
    <row r="748" ht="12.75" customHeight="1">
      <c r="A748" s="1">
        <v>737.0</v>
      </c>
      <c r="B748" s="408" t="str">
        <f t="shared" si="5"/>
        <v/>
      </c>
      <c r="C748" s="408">
        <f t="shared" si="6"/>
        <v>0</v>
      </c>
      <c r="D748" s="408" t="str">
        <f t="shared" si="7"/>
        <v/>
      </c>
      <c r="E748" s="176" t="str">
        <f t="shared" si="8"/>
        <v/>
      </c>
      <c r="F748" s="408" t="str">
        <f t="shared" si="11"/>
        <v/>
      </c>
      <c r="G748" s="408" t="str">
        <f t="shared" si="12"/>
        <v/>
      </c>
      <c r="H748" s="410">
        <f>IF(K748&gt;='Pro Forma Detail'!D$66,'Pro Forma Detail'!D$67,'Debt ReFi'!$B$5)</f>
        <v>0.0275</v>
      </c>
      <c r="I748" s="1" t="str">
        <f t="shared" si="1"/>
        <v/>
      </c>
      <c r="J748" s="406">
        <f t="shared" si="13"/>
        <v>68058</v>
      </c>
      <c r="K748" s="105">
        <f t="shared" si="9"/>
        <v>66</v>
      </c>
      <c r="L748" s="411" t="str">
        <f t="shared" si="10"/>
        <v/>
      </c>
      <c r="M748" s="407" t="str">
        <f t="shared" si="2"/>
        <v/>
      </c>
      <c r="N748" s="407">
        <f t="shared" si="3"/>
        <v>0</v>
      </c>
      <c r="O748" s="407" t="str">
        <f t="shared" si="4"/>
        <v/>
      </c>
      <c r="P748" s="1"/>
    </row>
    <row r="749" ht="12.75" customHeight="1">
      <c r="A749" s="1">
        <v>738.0</v>
      </c>
      <c r="B749" s="408" t="str">
        <f t="shared" si="5"/>
        <v/>
      </c>
      <c r="C749" s="408">
        <f t="shared" si="6"/>
        <v>0</v>
      </c>
      <c r="D749" s="408" t="str">
        <f t="shared" si="7"/>
        <v/>
      </c>
      <c r="E749" s="176" t="str">
        <f t="shared" si="8"/>
        <v/>
      </c>
      <c r="F749" s="408" t="str">
        <f t="shared" si="11"/>
        <v/>
      </c>
      <c r="G749" s="408" t="str">
        <f t="shared" si="12"/>
        <v/>
      </c>
      <c r="H749" s="410">
        <f>IF(K749&gt;='Pro Forma Detail'!D$66,'Pro Forma Detail'!D$67,'Debt ReFi'!$B$5)</f>
        <v>0.0275</v>
      </c>
      <c r="I749" s="1" t="str">
        <f t="shared" si="1"/>
        <v/>
      </c>
      <c r="J749" s="406">
        <f t="shared" si="13"/>
        <v>68089</v>
      </c>
      <c r="K749" s="105">
        <f t="shared" si="9"/>
        <v>66</v>
      </c>
      <c r="L749" s="411" t="str">
        <f t="shared" si="10"/>
        <v/>
      </c>
      <c r="M749" s="407" t="str">
        <f t="shared" si="2"/>
        <v/>
      </c>
      <c r="N749" s="407">
        <f t="shared" si="3"/>
        <v>0</v>
      </c>
      <c r="O749" s="407" t="str">
        <f t="shared" si="4"/>
        <v/>
      </c>
      <c r="P749" s="1"/>
    </row>
    <row r="750" ht="12.75" customHeight="1">
      <c r="A750" s="1">
        <v>739.0</v>
      </c>
      <c r="B750" s="408" t="str">
        <f t="shared" si="5"/>
        <v/>
      </c>
      <c r="C750" s="408">
        <f t="shared" si="6"/>
        <v>0</v>
      </c>
      <c r="D750" s="408" t="str">
        <f t="shared" si="7"/>
        <v/>
      </c>
      <c r="E750" s="176" t="str">
        <f t="shared" si="8"/>
        <v/>
      </c>
      <c r="F750" s="408" t="str">
        <f t="shared" si="11"/>
        <v/>
      </c>
      <c r="G750" s="408" t="str">
        <f t="shared" si="12"/>
        <v/>
      </c>
      <c r="H750" s="410">
        <f>IF(K750&gt;='Pro Forma Detail'!D$66,'Pro Forma Detail'!D$67,'Debt ReFi'!$B$5)</f>
        <v>0.0275</v>
      </c>
      <c r="I750" s="1" t="str">
        <f t="shared" si="1"/>
        <v/>
      </c>
      <c r="J750" s="406">
        <f t="shared" si="13"/>
        <v>68119</v>
      </c>
      <c r="K750" s="105">
        <f t="shared" si="9"/>
        <v>66</v>
      </c>
      <c r="L750" s="411" t="str">
        <f t="shared" si="10"/>
        <v/>
      </c>
      <c r="M750" s="407" t="str">
        <f t="shared" si="2"/>
        <v/>
      </c>
      <c r="N750" s="407">
        <f t="shared" si="3"/>
        <v>0</v>
      </c>
      <c r="O750" s="407" t="str">
        <f t="shared" si="4"/>
        <v/>
      </c>
      <c r="P750" s="1"/>
    </row>
    <row r="751" ht="12.75" customHeight="1">
      <c r="A751" s="1">
        <v>740.0</v>
      </c>
      <c r="B751" s="408" t="str">
        <f t="shared" si="5"/>
        <v/>
      </c>
      <c r="C751" s="408">
        <f t="shared" si="6"/>
        <v>0</v>
      </c>
      <c r="D751" s="408" t="str">
        <f t="shared" si="7"/>
        <v/>
      </c>
      <c r="E751" s="176" t="str">
        <f t="shared" si="8"/>
        <v/>
      </c>
      <c r="F751" s="408" t="str">
        <f t="shared" si="11"/>
        <v/>
      </c>
      <c r="G751" s="408" t="str">
        <f t="shared" si="12"/>
        <v/>
      </c>
      <c r="H751" s="410">
        <f>IF(K751&gt;='Pro Forma Detail'!D$66,'Pro Forma Detail'!D$67,'Debt ReFi'!$B$5)</f>
        <v>0.0275</v>
      </c>
      <c r="I751" s="1" t="str">
        <f t="shared" si="1"/>
        <v/>
      </c>
      <c r="J751" s="406">
        <f t="shared" si="13"/>
        <v>68150</v>
      </c>
      <c r="K751" s="105">
        <f t="shared" si="9"/>
        <v>66</v>
      </c>
      <c r="L751" s="411" t="str">
        <f t="shared" si="10"/>
        <v/>
      </c>
      <c r="M751" s="407" t="str">
        <f t="shared" si="2"/>
        <v/>
      </c>
      <c r="N751" s="407">
        <f t="shared" si="3"/>
        <v>0</v>
      </c>
      <c r="O751" s="407" t="str">
        <f t="shared" si="4"/>
        <v/>
      </c>
      <c r="P751" s="1"/>
    </row>
    <row r="752" ht="12.75" customHeight="1">
      <c r="A752" s="1">
        <v>741.0</v>
      </c>
      <c r="B752" s="408" t="str">
        <f t="shared" si="5"/>
        <v/>
      </c>
      <c r="C752" s="408">
        <f t="shared" si="6"/>
        <v>0</v>
      </c>
      <c r="D752" s="408" t="str">
        <f t="shared" si="7"/>
        <v/>
      </c>
      <c r="E752" s="176" t="str">
        <f t="shared" si="8"/>
        <v/>
      </c>
      <c r="F752" s="408" t="str">
        <f t="shared" si="11"/>
        <v/>
      </c>
      <c r="G752" s="408" t="str">
        <f t="shared" si="12"/>
        <v/>
      </c>
      <c r="H752" s="410">
        <f>IF(K752&gt;='Pro Forma Detail'!D$66,'Pro Forma Detail'!D$67,'Debt ReFi'!$B$5)</f>
        <v>0.0275</v>
      </c>
      <c r="I752" s="1" t="str">
        <f t="shared" si="1"/>
        <v/>
      </c>
      <c r="J752" s="406">
        <f t="shared" si="13"/>
        <v>68181</v>
      </c>
      <c r="K752" s="105">
        <f t="shared" si="9"/>
        <v>66</v>
      </c>
      <c r="L752" s="411" t="str">
        <f t="shared" si="10"/>
        <v/>
      </c>
      <c r="M752" s="407" t="str">
        <f t="shared" si="2"/>
        <v/>
      </c>
      <c r="N752" s="407">
        <f t="shared" si="3"/>
        <v>0</v>
      </c>
      <c r="O752" s="407" t="str">
        <f t="shared" si="4"/>
        <v/>
      </c>
      <c r="P752" s="1"/>
    </row>
    <row r="753" ht="12.75" customHeight="1">
      <c r="A753" s="1">
        <v>742.0</v>
      </c>
      <c r="B753" s="408" t="str">
        <f t="shared" si="5"/>
        <v/>
      </c>
      <c r="C753" s="408">
        <f t="shared" si="6"/>
        <v>0</v>
      </c>
      <c r="D753" s="408" t="str">
        <f t="shared" si="7"/>
        <v/>
      </c>
      <c r="E753" s="176" t="str">
        <f t="shared" si="8"/>
        <v/>
      </c>
      <c r="F753" s="408" t="str">
        <f t="shared" si="11"/>
        <v/>
      </c>
      <c r="G753" s="408" t="str">
        <f t="shared" si="12"/>
        <v/>
      </c>
      <c r="H753" s="410">
        <f>IF(K753&gt;='Pro Forma Detail'!D$66,'Pro Forma Detail'!D$67,'Debt ReFi'!$B$5)</f>
        <v>0.0275</v>
      </c>
      <c r="I753" s="1" t="str">
        <f t="shared" si="1"/>
        <v/>
      </c>
      <c r="J753" s="406">
        <f t="shared" si="13"/>
        <v>68211</v>
      </c>
      <c r="K753" s="105">
        <f t="shared" si="9"/>
        <v>66</v>
      </c>
      <c r="L753" s="411" t="str">
        <f t="shared" si="10"/>
        <v/>
      </c>
      <c r="M753" s="407" t="str">
        <f t="shared" si="2"/>
        <v/>
      </c>
      <c r="N753" s="407">
        <f t="shared" si="3"/>
        <v>0</v>
      </c>
      <c r="O753" s="407" t="str">
        <f t="shared" si="4"/>
        <v/>
      </c>
      <c r="P753" s="1"/>
    </row>
    <row r="754" ht="12.75" customHeight="1">
      <c r="A754" s="1">
        <v>743.0</v>
      </c>
      <c r="B754" s="408" t="str">
        <f t="shared" si="5"/>
        <v/>
      </c>
      <c r="C754" s="408">
        <f t="shared" si="6"/>
        <v>0</v>
      </c>
      <c r="D754" s="408" t="str">
        <f t="shared" si="7"/>
        <v/>
      </c>
      <c r="E754" s="176" t="str">
        <f t="shared" si="8"/>
        <v/>
      </c>
      <c r="F754" s="408" t="str">
        <f t="shared" si="11"/>
        <v/>
      </c>
      <c r="G754" s="408" t="str">
        <f t="shared" si="12"/>
        <v/>
      </c>
      <c r="H754" s="410">
        <f>IF(K754&gt;='Pro Forma Detail'!D$66,'Pro Forma Detail'!D$67,'Debt ReFi'!$B$5)</f>
        <v>0.0275</v>
      </c>
      <c r="I754" s="1" t="str">
        <f t="shared" si="1"/>
        <v/>
      </c>
      <c r="J754" s="406">
        <f t="shared" si="13"/>
        <v>68242</v>
      </c>
      <c r="K754" s="105">
        <f t="shared" si="9"/>
        <v>66</v>
      </c>
      <c r="L754" s="411" t="str">
        <f t="shared" si="10"/>
        <v/>
      </c>
      <c r="M754" s="407" t="str">
        <f t="shared" si="2"/>
        <v/>
      </c>
      <c r="N754" s="407">
        <f t="shared" si="3"/>
        <v>0</v>
      </c>
      <c r="O754" s="407" t="str">
        <f t="shared" si="4"/>
        <v/>
      </c>
      <c r="P754" s="1"/>
    </row>
    <row r="755" ht="12.75" customHeight="1">
      <c r="A755" s="1">
        <v>744.0</v>
      </c>
      <c r="B755" s="408" t="str">
        <f t="shared" si="5"/>
        <v/>
      </c>
      <c r="C755" s="408">
        <f t="shared" si="6"/>
        <v>0</v>
      </c>
      <c r="D755" s="408" t="str">
        <f t="shared" si="7"/>
        <v/>
      </c>
      <c r="E755" s="176" t="str">
        <f t="shared" si="8"/>
        <v/>
      </c>
      <c r="F755" s="408" t="str">
        <f t="shared" si="11"/>
        <v/>
      </c>
      <c r="G755" s="408" t="str">
        <f t="shared" si="12"/>
        <v/>
      </c>
      <c r="H755" s="410">
        <f>IF(K755&gt;='Pro Forma Detail'!D$66,'Pro Forma Detail'!D$67,'Debt ReFi'!$B$5)</f>
        <v>0.0275</v>
      </c>
      <c r="I755" s="1" t="str">
        <f t="shared" si="1"/>
        <v/>
      </c>
      <c r="J755" s="406">
        <f t="shared" si="13"/>
        <v>68272</v>
      </c>
      <c r="K755" s="105">
        <f t="shared" si="9"/>
        <v>66</v>
      </c>
      <c r="L755" s="411" t="str">
        <f t="shared" si="10"/>
        <v/>
      </c>
      <c r="M755" s="407" t="str">
        <f t="shared" si="2"/>
        <v/>
      </c>
      <c r="N755" s="407">
        <f t="shared" si="3"/>
        <v>0</v>
      </c>
      <c r="O755" s="407" t="str">
        <f t="shared" si="4"/>
        <v/>
      </c>
      <c r="P755" s="1"/>
    </row>
    <row r="756" ht="12.75" customHeight="1">
      <c r="A756" s="1">
        <v>745.0</v>
      </c>
      <c r="B756" s="408" t="str">
        <f t="shared" si="5"/>
        <v/>
      </c>
      <c r="C756" s="408">
        <f t="shared" si="6"/>
        <v>0</v>
      </c>
      <c r="D756" s="408" t="str">
        <f t="shared" si="7"/>
        <v/>
      </c>
      <c r="E756" s="176" t="str">
        <f t="shared" si="8"/>
        <v/>
      </c>
      <c r="F756" s="408" t="str">
        <f t="shared" si="11"/>
        <v/>
      </c>
      <c r="G756" s="408" t="str">
        <f t="shared" si="12"/>
        <v/>
      </c>
      <c r="H756" s="410">
        <f>IF(K756&gt;='Pro Forma Detail'!D$66,'Pro Forma Detail'!D$67,'Debt ReFi'!$B$5)</f>
        <v>0.0275</v>
      </c>
      <c r="I756" s="1" t="str">
        <f t="shared" si="1"/>
        <v/>
      </c>
      <c r="J756" s="406">
        <f t="shared" si="13"/>
        <v>68303</v>
      </c>
      <c r="K756" s="105">
        <f t="shared" si="9"/>
        <v>67</v>
      </c>
      <c r="L756" s="411" t="str">
        <f t="shared" si="10"/>
        <v/>
      </c>
      <c r="M756" s="407" t="str">
        <f t="shared" si="2"/>
        <v/>
      </c>
      <c r="N756" s="407">
        <f t="shared" si="3"/>
        <v>0</v>
      </c>
      <c r="O756" s="407" t="str">
        <f t="shared" si="4"/>
        <v/>
      </c>
      <c r="P756" s="1"/>
    </row>
    <row r="757" ht="12.75" customHeight="1">
      <c r="A757" s="1">
        <v>746.0</v>
      </c>
      <c r="B757" s="408" t="str">
        <f t="shared" si="5"/>
        <v/>
      </c>
      <c r="C757" s="408">
        <f t="shared" si="6"/>
        <v>0</v>
      </c>
      <c r="D757" s="408" t="str">
        <f t="shared" si="7"/>
        <v/>
      </c>
      <c r="E757" s="176" t="str">
        <f t="shared" si="8"/>
        <v/>
      </c>
      <c r="F757" s="408" t="str">
        <f t="shared" si="11"/>
        <v/>
      </c>
      <c r="G757" s="408" t="str">
        <f t="shared" si="12"/>
        <v/>
      </c>
      <c r="H757" s="410">
        <f>IF(K757&gt;='Pro Forma Detail'!D$66,'Pro Forma Detail'!D$67,'Debt ReFi'!$B$5)</f>
        <v>0.0275</v>
      </c>
      <c r="I757" s="1" t="str">
        <f t="shared" si="1"/>
        <v/>
      </c>
      <c r="J757" s="406">
        <f t="shared" si="13"/>
        <v>68334</v>
      </c>
      <c r="K757" s="105">
        <f t="shared" si="9"/>
        <v>67</v>
      </c>
      <c r="L757" s="411" t="str">
        <f t="shared" si="10"/>
        <v/>
      </c>
      <c r="M757" s="407" t="str">
        <f t="shared" si="2"/>
        <v/>
      </c>
      <c r="N757" s="407">
        <f t="shared" si="3"/>
        <v>0</v>
      </c>
      <c r="O757" s="407" t="str">
        <f t="shared" si="4"/>
        <v/>
      </c>
      <c r="P757" s="1"/>
    </row>
    <row r="758" ht="12.75" customHeight="1">
      <c r="A758" s="1">
        <v>747.0</v>
      </c>
      <c r="B758" s="408" t="str">
        <f t="shared" si="5"/>
        <v/>
      </c>
      <c r="C758" s="408">
        <f t="shared" si="6"/>
        <v>0</v>
      </c>
      <c r="D758" s="408" t="str">
        <f t="shared" si="7"/>
        <v/>
      </c>
      <c r="E758" s="176" t="str">
        <f t="shared" si="8"/>
        <v/>
      </c>
      <c r="F758" s="408" t="str">
        <f t="shared" si="11"/>
        <v/>
      </c>
      <c r="G758" s="408" t="str">
        <f t="shared" si="12"/>
        <v/>
      </c>
      <c r="H758" s="410">
        <f>IF(K758&gt;='Pro Forma Detail'!D$66,'Pro Forma Detail'!D$67,'Debt ReFi'!$B$5)</f>
        <v>0.0275</v>
      </c>
      <c r="I758" s="1" t="str">
        <f t="shared" si="1"/>
        <v/>
      </c>
      <c r="J758" s="406">
        <f t="shared" si="13"/>
        <v>68362</v>
      </c>
      <c r="K758" s="105">
        <f t="shared" si="9"/>
        <v>67</v>
      </c>
      <c r="L758" s="411" t="str">
        <f t="shared" si="10"/>
        <v/>
      </c>
      <c r="M758" s="407" t="str">
        <f t="shared" si="2"/>
        <v/>
      </c>
      <c r="N758" s="407">
        <f t="shared" si="3"/>
        <v>0</v>
      </c>
      <c r="O758" s="407" t="str">
        <f t="shared" si="4"/>
        <v/>
      </c>
      <c r="P758" s="1"/>
    </row>
    <row r="759" ht="12.75" customHeight="1">
      <c r="A759" s="1">
        <v>748.0</v>
      </c>
      <c r="B759" s="408" t="str">
        <f t="shared" si="5"/>
        <v/>
      </c>
      <c r="C759" s="408">
        <f t="shared" si="6"/>
        <v>0</v>
      </c>
      <c r="D759" s="408" t="str">
        <f t="shared" si="7"/>
        <v/>
      </c>
      <c r="E759" s="176" t="str">
        <f t="shared" si="8"/>
        <v/>
      </c>
      <c r="F759" s="408" t="str">
        <f t="shared" si="11"/>
        <v/>
      </c>
      <c r="G759" s="408" t="str">
        <f t="shared" si="12"/>
        <v/>
      </c>
      <c r="H759" s="410">
        <f>IF(K759&gt;='Pro Forma Detail'!D$66,'Pro Forma Detail'!D$67,'Debt ReFi'!$B$5)</f>
        <v>0.0275</v>
      </c>
      <c r="I759" s="1" t="str">
        <f t="shared" si="1"/>
        <v/>
      </c>
      <c r="J759" s="406">
        <f t="shared" si="13"/>
        <v>68393</v>
      </c>
      <c r="K759" s="105">
        <f t="shared" si="9"/>
        <v>67</v>
      </c>
      <c r="L759" s="411" t="str">
        <f t="shared" si="10"/>
        <v/>
      </c>
      <c r="M759" s="407" t="str">
        <f t="shared" si="2"/>
        <v/>
      </c>
      <c r="N759" s="407">
        <f t="shared" si="3"/>
        <v>0</v>
      </c>
      <c r="O759" s="407" t="str">
        <f t="shared" si="4"/>
        <v/>
      </c>
      <c r="P759" s="1"/>
    </row>
    <row r="760" ht="12.75" customHeight="1">
      <c r="A760" s="1">
        <v>749.0</v>
      </c>
      <c r="B760" s="408" t="str">
        <f t="shared" si="5"/>
        <v/>
      </c>
      <c r="C760" s="408">
        <f t="shared" si="6"/>
        <v>0</v>
      </c>
      <c r="D760" s="408" t="str">
        <f t="shared" si="7"/>
        <v/>
      </c>
      <c r="E760" s="176" t="str">
        <f t="shared" si="8"/>
        <v/>
      </c>
      <c r="F760" s="408" t="str">
        <f t="shared" si="11"/>
        <v/>
      </c>
      <c r="G760" s="408" t="str">
        <f t="shared" si="12"/>
        <v/>
      </c>
      <c r="H760" s="410">
        <f>IF(K760&gt;='Pro Forma Detail'!D$66,'Pro Forma Detail'!D$67,'Debt ReFi'!$B$5)</f>
        <v>0.0275</v>
      </c>
      <c r="I760" s="1" t="str">
        <f t="shared" si="1"/>
        <v/>
      </c>
      <c r="J760" s="406">
        <f t="shared" si="13"/>
        <v>68423</v>
      </c>
      <c r="K760" s="105">
        <f t="shared" si="9"/>
        <v>67</v>
      </c>
      <c r="L760" s="411" t="str">
        <f t="shared" si="10"/>
        <v/>
      </c>
      <c r="M760" s="407" t="str">
        <f t="shared" si="2"/>
        <v/>
      </c>
      <c r="N760" s="407">
        <f t="shared" si="3"/>
        <v>0</v>
      </c>
      <c r="O760" s="407" t="str">
        <f t="shared" si="4"/>
        <v/>
      </c>
      <c r="P760" s="1"/>
    </row>
    <row r="761" ht="12.75" customHeight="1">
      <c r="A761" s="1">
        <v>750.0</v>
      </c>
      <c r="B761" s="408" t="str">
        <f t="shared" si="5"/>
        <v/>
      </c>
      <c r="C761" s="408">
        <f t="shared" si="6"/>
        <v>0</v>
      </c>
      <c r="D761" s="408" t="str">
        <f t="shared" si="7"/>
        <v/>
      </c>
      <c r="E761" s="176" t="str">
        <f t="shared" si="8"/>
        <v/>
      </c>
      <c r="F761" s="408" t="str">
        <f t="shared" si="11"/>
        <v/>
      </c>
      <c r="G761" s="408" t="str">
        <f t="shared" si="12"/>
        <v/>
      </c>
      <c r="H761" s="410">
        <f>IF(K761&gt;='Pro Forma Detail'!D$66,'Pro Forma Detail'!D$67,'Debt ReFi'!$B$5)</f>
        <v>0.0275</v>
      </c>
      <c r="I761" s="1" t="str">
        <f t="shared" si="1"/>
        <v/>
      </c>
      <c r="J761" s="406">
        <f t="shared" si="13"/>
        <v>68454</v>
      </c>
      <c r="K761" s="105">
        <f t="shared" si="9"/>
        <v>67</v>
      </c>
      <c r="L761" s="411" t="str">
        <f t="shared" si="10"/>
        <v/>
      </c>
      <c r="M761" s="407" t="str">
        <f t="shared" si="2"/>
        <v/>
      </c>
      <c r="N761" s="407">
        <f t="shared" si="3"/>
        <v>0</v>
      </c>
      <c r="O761" s="407" t="str">
        <f t="shared" si="4"/>
        <v/>
      </c>
      <c r="P761" s="1"/>
    </row>
    <row r="762" ht="12.75" customHeight="1">
      <c r="A762" s="1">
        <v>751.0</v>
      </c>
      <c r="B762" s="408" t="str">
        <f t="shared" si="5"/>
        <v/>
      </c>
      <c r="C762" s="408">
        <f t="shared" si="6"/>
        <v>0</v>
      </c>
      <c r="D762" s="408" t="str">
        <f t="shared" si="7"/>
        <v/>
      </c>
      <c r="E762" s="176" t="str">
        <f t="shared" si="8"/>
        <v/>
      </c>
      <c r="F762" s="408" t="str">
        <f t="shared" si="11"/>
        <v/>
      </c>
      <c r="G762" s="408" t="str">
        <f t="shared" si="12"/>
        <v/>
      </c>
      <c r="H762" s="410">
        <f>IF(K762&gt;='Pro Forma Detail'!D$66,'Pro Forma Detail'!D$67,'Debt ReFi'!$B$5)</f>
        <v>0.0275</v>
      </c>
      <c r="I762" s="1" t="str">
        <f t="shared" si="1"/>
        <v/>
      </c>
      <c r="J762" s="406">
        <f t="shared" si="13"/>
        <v>68484</v>
      </c>
      <c r="K762" s="105">
        <f t="shared" si="9"/>
        <v>67</v>
      </c>
      <c r="L762" s="411" t="str">
        <f t="shared" si="10"/>
        <v/>
      </c>
      <c r="M762" s="407" t="str">
        <f t="shared" si="2"/>
        <v/>
      </c>
      <c r="N762" s="407">
        <f t="shared" si="3"/>
        <v>0</v>
      </c>
      <c r="O762" s="407" t="str">
        <f t="shared" si="4"/>
        <v/>
      </c>
      <c r="P762" s="1"/>
    </row>
    <row r="763" ht="12.75" customHeight="1">
      <c r="A763" s="1">
        <v>752.0</v>
      </c>
      <c r="B763" s="408" t="str">
        <f t="shared" si="5"/>
        <v/>
      </c>
      <c r="C763" s="408">
        <f t="shared" si="6"/>
        <v>0</v>
      </c>
      <c r="D763" s="408" t="str">
        <f t="shared" si="7"/>
        <v/>
      </c>
      <c r="E763" s="176" t="str">
        <f t="shared" si="8"/>
        <v/>
      </c>
      <c r="F763" s="408" t="str">
        <f t="shared" si="11"/>
        <v/>
      </c>
      <c r="G763" s="408" t="str">
        <f t="shared" si="12"/>
        <v/>
      </c>
      <c r="H763" s="410">
        <f>IF(K763&gt;='Pro Forma Detail'!D$66,'Pro Forma Detail'!D$67,'Debt ReFi'!$B$5)</f>
        <v>0.0275</v>
      </c>
      <c r="I763" s="1" t="str">
        <f t="shared" si="1"/>
        <v/>
      </c>
      <c r="J763" s="406">
        <f t="shared" si="13"/>
        <v>68515</v>
      </c>
      <c r="K763" s="105">
        <f t="shared" si="9"/>
        <v>67</v>
      </c>
      <c r="L763" s="411" t="str">
        <f t="shared" si="10"/>
        <v/>
      </c>
      <c r="M763" s="407" t="str">
        <f t="shared" si="2"/>
        <v/>
      </c>
      <c r="N763" s="407">
        <f t="shared" si="3"/>
        <v>0</v>
      </c>
      <c r="O763" s="407" t="str">
        <f t="shared" si="4"/>
        <v/>
      </c>
      <c r="P763" s="1"/>
    </row>
    <row r="764" ht="12.75" customHeight="1">
      <c r="A764" s="1">
        <v>753.0</v>
      </c>
      <c r="B764" s="408" t="str">
        <f t="shared" si="5"/>
        <v/>
      </c>
      <c r="C764" s="408">
        <f t="shared" si="6"/>
        <v>0</v>
      </c>
      <c r="D764" s="408" t="str">
        <f t="shared" si="7"/>
        <v/>
      </c>
      <c r="E764" s="176" t="str">
        <f t="shared" si="8"/>
        <v/>
      </c>
      <c r="F764" s="408" t="str">
        <f t="shared" si="11"/>
        <v/>
      </c>
      <c r="G764" s="408" t="str">
        <f t="shared" si="12"/>
        <v/>
      </c>
      <c r="H764" s="410">
        <f>IF(K764&gt;='Pro Forma Detail'!D$66,'Pro Forma Detail'!D$67,'Debt ReFi'!$B$5)</f>
        <v>0.0275</v>
      </c>
      <c r="I764" s="1" t="str">
        <f t="shared" si="1"/>
        <v/>
      </c>
      <c r="J764" s="406">
        <f t="shared" si="13"/>
        <v>68546</v>
      </c>
      <c r="K764" s="105">
        <f t="shared" si="9"/>
        <v>67</v>
      </c>
      <c r="L764" s="411" t="str">
        <f t="shared" si="10"/>
        <v/>
      </c>
      <c r="M764" s="407" t="str">
        <f t="shared" si="2"/>
        <v/>
      </c>
      <c r="N764" s="407">
        <f t="shared" si="3"/>
        <v>0</v>
      </c>
      <c r="O764" s="407" t="str">
        <f t="shared" si="4"/>
        <v/>
      </c>
      <c r="P764" s="1"/>
    </row>
    <row r="765" ht="12.75" customHeight="1">
      <c r="A765" s="1">
        <v>754.0</v>
      </c>
      <c r="B765" s="408" t="str">
        <f t="shared" si="5"/>
        <v/>
      </c>
      <c r="C765" s="408">
        <f t="shared" si="6"/>
        <v>0</v>
      </c>
      <c r="D765" s="408" t="str">
        <f t="shared" si="7"/>
        <v/>
      </c>
      <c r="E765" s="176" t="str">
        <f t="shared" si="8"/>
        <v/>
      </c>
      <c r="F765" s="408" t="str">
        <f t="shared" si="11"/>
        <v/>
      </c>
      <c r="G765" s="408" t="str">
        <f t="shared" si="12"/>
        <v/>
      </c>
      <c r="H765" s="410">
        <f>IF(K765&gt;='Pro Forma Detail'!D$66,'Pro Forma Detail'!D$67,'Debt ReFi'!$B$5)</f>
        <v>0.0275</v>
      </c>
      <c r="I765" s="1" t="str">
        <f t="shared" si="1"/>
        <v/>
      </c>
      <c r="J765" s="406">
        <f t="shared" si="13"/>
        <v>68576</v>
      </c>
      <c r="K765" s="105">
        <f t="shared" si="9"/>
        <v>67</v>
      </c>
      <c r="L765" s="411" t="str">
        <f t="shared" si="10"/>
        <v/>
      </c>
      <c r="M765" s="407" t="str">
        <f t="shared" si="2"/>
        <v/>
      </c>
      <c r="N765" s="407">
        <f t="shared" si="3"/>
        <v>0</v>
      </c>
      <c r="O765" s="407" t="str">
        <f t="shared" si="4"/>
        <v/>
      </c>
      <c r="P765" s="1"/>
    </row>
    <row r="766" ht="12.75" customHeight="1">
      <c r="A766" s="1">
        <v>755.0</v>
      </c>
      <c r="B766" s="408" t="str">
        <f t="shared" si="5"/>
        <v/>
      </c>
      <c r="C766" s="408">
        <f t="shared" si="6"/>
        <v>0</v>
      </c>
      <c r="D766" s="408" t="str">
        <f t="shared" si="7"/>
        <v/>
      </c>
      <c r="E766" s="176" t="str">
        <f t="shared" si="8"/>
        <v/>
      </c>
      <c r="F766" s="408" t="str">
        <f t="shared" si="11"/>
        <v/>
      </c>
      <c r="G766" s="408" t="str">
        <f t="shared" si="12"/>
        <v/>
      </c>
      <c r="H766" s="410">
        <f>IF(K766&gt;='Pro Forma Detail'!D$66,'Pro Forma Detail'!D$67,'Debt ReFi'!$B$5)</f>
        <v>0.0275</v>
      </c>
      <c r="I766" s="1" t="str">
        <f t="shared" si="1"/>
        <v/>
      </c>
      <c r="J766" s="406">
        <f t="shared" si="13"/>
        <v>68607</v>
      </c>
      <c r="K766" s="105">
        <f t="shared" si="9"/>
        <v>67</v>
      </c>
      <c r="L766" s="411" t="str">
        <f t="shared" si="10"/>
        <v/>
      </c>
      <c r="M766" s="407" t="str">
        <f t="shared" si="2"/>
        <v/>
      </c>
      <c r="N766" s="407">
        <f t="shared" si="3"/>
        <v>0</v>
      </c>
      <c r="O766" s="407" t="str">
        <f t="shared" si="4"/>
        <v/>
      </c>
      <c r="P766" s="1"/>
    </row>
    <row r="767" ht="12.75" customHeight="1">
      <c r="A767" s="1">
        <v>756.0</v>
      </c>
      <c r="B767" s="408" t="str">
        <f t="shared" si="5"/>
        <v/>
      </c>
      <c r="C767" s="408">
        <f t="shared" si="6"/>
        <v>0</v>
      </c>
      <c r="D767" s="408" t="str">
        <f t="shared" si="7"/>
        <v/>
      </c>
      <c r="E767" s="176" t="str">
        <f t="shared" si="8"/>
        <v/>
      </c>
      <c r="F767" s="408" t="str">
        <f t="shared" si="11"/>
        <v/>
      </c>
      <c r="G767" s="408" t="str">
        <f t="shared" si="12"/>
        <v/>
      </c>
      <c r="H767" s="410">
        <f>IF(K767&gt;='Pro Forma Detail'!D$66,'Pro Forma Detail'!D$67,'Debt ReFi'!$B$5)</f>
        <v>0.0275</v>
      </c>
      <c r="I767" s="1" t="str">
        <f t="shared" si="1"/>
        <v/>
      </c>
      <c r="J767" s="406">
        <f t="shared" si="13"/>
        <v>68637</v>
      </c>
      <c r="K767" s="105">
        <f t="shared" si="9"/>
        <v>67</v>
      </c>
      <c r="L767" s="411" t="str">
        <f t="shared" si="10"/>
        <v/>
      </c>
      <c r="M767" s="407" t="str">
        <f t="shared" si="2"/>
        <v/>
      </c>
      <c r="N767" s="407">
        <f t="shared" si="3"/>
        <v>0</v>
      </c>
      <c r="O767" s="407" t="str">
        <f t="shared" si="4"/>
        <v/>
      </c>
      <c r="P767" s="1"/>
    </row>
    <row r="768" ht="12.75" customHeight="1">
      <c r="A768" s="1">
        <v>757.0</v>
      </c>
      <c r="B768" s="408" t="str">
        <f t="shared" si="5"/>
        <v/>
      </c>
      <c r="C768" s="408">
        <f t="shared" si="6"/>
        <v>0</v>
      </c>
      <c r="D768" s="408" t="str">
        <f t="shared" si="7"/>
        <v/>
      </c>
      <c r="E768" s="176" t="str">
        <f t="shared" si="8"/>
        <v/>
      </c>
      <c r="F768" s="408" t="str">
        <f t="shared" si="11"/>
        <v/>
      </c>
      <c r="G768" s="408" t="str">
        <f t="shared" si="12"/>
        <v/>
      </c>
      <c r="H768" s="410">
        <f>IF(K768&gt;='Pro Forma Detail'!D$66,'Pro Forma Detail'!D$67,'Debt ReFi'!$B$5)</f>
        <v>0.0275</v>
      </c>
      <c r="I768" s="1" t="str">
        <f t="shared" si="1"/>
        <v/>
      </c>
      <c r="J768" s="406">
        <f t="shared" si="13"/>
        <v>68668</v>
      </c>
      <c r="K768" s="105">
        <f t="shared" si="9"/>
        <v>68</v>
      </c>
      <c r="L768" s="411" t="str">
        <f t="shared" si="10"/>
        <v/>
      </c>
      <c r="M768" s="407" t="str">
        <f t="shared" si="2"/>
        <v/>
      </c>
      <c r="N768" s="407">
        <f t="shared" si="3"/>
        <v>0</v>
      </c>
      <c r="O768" s="407" t="str">
        <f t="shared" si="4"/>
        <v/>
      </c>
      <c r="P768" s="1"/>
    </row>
    <row r="769" ht="12.75" customHeight="1">
      <c r="A769" s="1">
        <v>758.0</v>
      </c>
      <c r="B769" s="408" t="str">
        <f t="shared" si="5"/>
        <v/>
      </c>
      <c r="C769" s="408">
        <f t="shared" si="6"/>
        <v>0</v>
      </c>
      <c r="D769" s="408" t="str">
        <f t="shared" si="7"/>
        <v/>
      </c>
      <c r="E769" s="176" t="str">
        <f t="shared" si="8"/>
        <v/>
      </c>
      <c r="F769" s="408" t="str">
        <f t="shared" si="11"/>
        <v/>
      </c>
      <c r="G769" s="408" t="str">
        <f t="shared" si="12"/>
        <v/>
      </c>
      <c r="H769" s="410">
        <f>IF(K769&gt;='Pro Forma Detail'!D$66,'Pro Forma Detail'!D$67,'Debt ReFi'!$B$5)</f>
        <v>0.0275</v>
      </c>
      <c r="I769" s="1" t="str">
        <f t="shared" si="1"/>
        <v/>
      </c>
      <c r="J769" s="406">
        <f t="shared" si="13"/>
        <v>68699</v>
      </c>
      <c r="K769" s="105">
        <f t="shared" si="9"/>
        <v>68</v>
      </c>
      <c r="L769" s="411" t="str">
        <f t="shared" si="10"/>
        <v/>
      </c>
      <c r="M769" s="407" t="str">
        <f t="shared" si="2"/>
        <v/>
      </c>
      <c r="N769" s="407">
        <f t="shared" si="3"/>
        <v>0</v>
      </c>
      <c r="O769" s="407" t="str">
        <f t="shared" si="4"/>
        <v/>
      </c>
      <c r="P769" s="1"/>
    </row>
    <row r="770" ht="12.75" customHeight="1">
      <c r="A770" s="1">
        <v>759.0</v>
      </c>
      <c r="B770" s="408" t="str">
        <f t="shared" si="5"/>
        <v/>
      </c>
      <c r="C770" s="408">
        <f t="shared" si="6"/>
        <v>0</v>
      </c>
      <c r="D770" s="408" t="str">
        <f t="shared" si="7"/>
        <v/>
      </c>
      <c r="E770" s="176" t="str">
        <f t="shared" si="8"/>
        <v/>
      </c>
      <c r="F770" s="408" t="str">
        <f t="shared" si="11"/>
        <v/>
      </c>
      <c r="G770" s="408" t="str">
        <f t="shared" si="12"/>
        <v/>
      </c>
      <c r="H770" s="410">
        <f>IF(K770&gt;='Pro Forma Detail'!D$66,'Pro Forma Detail'!D$67,'Debt ReFi'!$B$5)</f>
        <v>0.0275</v>
      </c>
      <c r="I770" s="1" t="str">
        <f t="shared" si="1"/>
        <v/>
      </c>
      <c r="J770" s="406">
        <f t="shared" si="13"/>
        <v>68728</v>
      </c>
      <c r="K770" s="105">
        <f t="shared" si="9"/>
        <v>68</v>
      </c>
      <c r="L770" s="411" t="str">
        <f t="shared" si="10"/>
        <v/>
      </c>
      <c r="M770" s="407" t="str">
        <f t="shared" si="2"/>
        <v/>
      </c>
      <c r="N770" s="407">
        <f t="shared" si="3"/>
        <v>0</v>
      </c>
      <c r="O770" s="407" t="str">
        <f t="shared" si="4"/>
        <v/>
      </c>
      <c r="P770" s="1"/>
    </row>
    <row r="771" ht="12.75" customHeight="1">
      <c r="A771" s="1">
        <v>760.0</v>
      </c>
      <c r="B771" s="408" t="str">
        <f t="shared" si="5"/>
        <v/>
      </c>
      <c r="C771" s="408">
        <f t="shared" si="6"/>
        <v>0</v>
      </c>
      <c r="D771" s="408" t="str">
        <f t="shared" si="7"/>
        <v/>
      </c>
      <c r="E771" s="176" t="str">
        <f t="shared" si="8"/>
        <v/>
      </c>
      <c r="F771" s="408" t="str">
        <f t="shared" si="11"/>
        <v/>
      </c>
      <c r="G771" s="408" t="str">
        <f t="shared" si="12"/>
        <v/>
      </c>
      <c r="H771" s="410">
        <f>IF(K771&gt;='Pro Forma Detail'!D$66,'Pro Forma Detail'!D$67,'Debt ReFi'!$B$5)</f>
        <v>0.0275</v>
      </c>
      <c r="I771" s="1" t="str">
        <f t="shared" si="1"/>
        <v/>
      </c>
      <c r="J771" s="406">
        <f t="shared" si="13"/>
        <v>68759</v>
      </c>
      <c r="K771" s="105">
        <f t="shared" si="9"/>
        <v>68</v>
      </c>
      <c r="L771" s="411" t="str">
        <f t="shared" si="10"/>
        <v/>
      </c>
      <c r="M771" s="407" t="str">
        <f t="shared" si="2"/>
        <v/>
      </c>
      <c r="N771" s="407">
        <f t="shared" si="3"/>
        <v>0</v>
      </c>
      <c r="O771" s="407" t="str">
        <f t="shared" si="4"/>
        <v/>
      </c>
      <c r="P771" s="1"/>
    </row>
    <row r="772" ht="12.75" customHeight="1">
      <c r="A772" s="1">
        <v>761.0</v>
      </c>
      <c r="B772" s="408" t="str">
        <f t="shared" si="5"/>
        <v/>
      </c>
      <c r="C772" s="408">
        <f t="shared" si="6"/>
        <v>0</v>
      </c>
      <c r="D772" s="408" t="str">
        <f t="shared" si="7"/>
        <v/>
      </c>
      <c r="E772" s="176" t="str">
        <f t="shared" si="8"/>
        <v/>
      </c>
      <c r="F772" s="408" t="str">
        <f t="shared" si="11"/>
        <v/>
      </c>
      <c r="G772" s="408" t="str">
        <f t="shared" si="12"/>
        <v/>
      </c>
      <c r="H772" s="410">
        <f>IF(K772&gt;='Pro Forma Detail'!D$66,'Pro Forma Detail'!D$67,'Debt ReFi'!$B$5)</f>
        <v>0.0275</v>
      </c>
      <c r="I772" s="1" t="str">
        <f t="shared" si="1"/>
        <v/>
      </c>
      <c r="J772" s="406">
        <f t="shared" si="13"/>
        <v>68789</v>
      </c>
      <c r="K772" s="105">
        <f t="shared" si="9"/>
        <v>68</v>
      </c>
      <c r="L772" s="411" t="str">
        <f t="shared" si="10"/>
        <v/>
      </c>
      <c r="M772" s="407" t="str">
        <f t="shared" si="2"/>
        <v/>
      </c>
      <c r="N772" s="407">
        <f t="shared" si="3"/>
        <v>0</v>
      </c>
      <c r="O772" s="407" t="str">
        <f t="shared" si="4"/>
        <v/>
      </c>
      <c r="P772" s="1"/>
    </row>
    <row r="773" ht="12.75" customHeight="1">
      <c r="A773" s="1">
        <v>762.0</v>
      </c>
      <c r="B773" s="408" t="str">
        <f t="shared" si="5"/>
        <v/>
      </c>
      <c r="C773" s="408">
        <f t="shared" si="6"/>
        <v>0</v>
      </c>
      <c r="D773" s="408" t="str">
        <f t="shared" si="7"/>
        <v/>
      </c>
      <c r="E773" s="176" t="str">
        <f t="shared" si="8"/>
        <v/>
      </c>
      <c r="F773" s="408" t="str">
        <f t="shared" si="11"/>
        <v/>
      </c>
      <c r="G773" s="408" t="str">
        <f t="shared" si="12"/>
        <v/>
      </c>
      <c r="H773" s="410">
        <f>IF(K773&gt;='Pro Forma Detail'!D$66,'Pro Forma Detail'!D$67,'Debt ReFi'!$B$5)</f>
        <v>0.0275</v>
      </c>
      <c r="I773" s="1" t="str">
        <f t="shared" si="1"/>
        <v/>
      </c>
      <c r="J773" s="406">
        <f t="shared" si="13"/>
        <v>68820</v>
      </c>
      <c r="K773" s="105">
        <f t="shared" si="9"/>
        <v>68</v>
      </c>
      <c r="L773" s="411" t="str">
        <f t="shared" si="10"/>
        <v/>
      </c>
      <c r="M773" s="407" t="str">
        <f t="shared" si="2"/>
        <v/>
      </c>
      <c r="N773" s="407">
        <f t="shared" si="3"/>
        <v>0</v>
      </c>
      <c r="O773" s="407" t="str">
        <f t="shared" si="4"/>
        <v/>
      </c>
      <c r="P773" s="1"/>
    </row>
    <row r="774" ht="12.75" customHeight="1">
      <c r="A774" s="1">
        <v>763.0</v>
      </c>
      <c r="B774" s="408" t="str">
        <f t="shared" si="5"/>
        <v/>
      </c>
      <c r="C774" s="408">
        <f t="shared" si="6"/>
        <v>0</v>
      </c>
      <c r="D774" s="408" t="str">
        <f t="shared" si="7"/>
        <v/>
      </c>
      <c r="E774" s="176" t="str">
        <f t="shared" si="8"/>
        <v/>
      </c>
      <c r="F774" s="408" t="str">
        <f t="shared" si="11"/>
        <v/>
      </c>
      <c r="G774" s="408" t="str">
        <f t="shared" si="12"/>
        <v/>
      </c>
      <c r="H774" s="410">
        <f>IF(K774&gt;='Pro Forma Detail'!D$66,'Pro Forma Detail'!D$67,'Debt ReFi'!$B$5)</f>
        <v>0.0275</v>
      </c>
      <c r="I774" s="1" t="str">
        <f t="shared" si="1"/>
        <v/>
      </c>
      <c r="J774" s="406">
        <f t="shared" si="13"/>
        <v>68850</v>
      </c>
      <c r="K774" s="105">
        <f t="shared" si="9"/>
        <v>68</v>
      </c>
      <c r="L774" s="411" t="str">
        <f t="shared" si="10"/>
        <v/>
      </c>
      <c r="M774" s="407" t="str">
        <f t="shared" si="2"/>
        <v/>
      </c>
      <c r="N774" s="407">
        <f t="shared" si="3"/>
        <v>0</v>
      </c>
      <c r="O774" s="407" t="str">
        <f t="shared" si="4"/>
        <v/>
      </c>
      <c r="P774" s="1"/>
    </row>
    <row r="775" ht="12.75" customHeight="1">
      <c r="A775" s="1">
        <v>764.0</v>
      </c>
      <c r="B775" s="408" t="str">
        <f t="shared" si="5"/>
        <v/>
      </c>
      <c r="C775" s="408">
        <f t="shared" si="6"/>
        <v>0</v>
      </c>
      <c r="D775" s="408" t="str">
        <f t="shared" si="7"/>
        <v/>
      </c>
      <c r="E775" s="176" t="str">
        <f t="shared" si="8"/>
        <v/>
      </c>
      <c r="F775" s="408" t="str">
        <f t="shared" si="11"/>
        <v/>
      </c>
      <c r="G775" s="408" t="str">
        <f t="shared" si="12"/>
        <v/>
      </c>
      <c r="H775" s="410">
        <f>IF(K775&gt;='Pro Forma Detail'!D$66,'Pro Forma Detail'!D$67,'Debt ReFi'!$B$5)</f>
        <v>0.0275</v>
      </c>
      <c r="I775" s="1" t="str">
        <f t="shared" si="1"/>
        <v/>
      </c>
      <c r="J775" s="406">
        <f t="shared" si="13"/>
        <v>68881</v>
      </c>
      <c r="K775" s="105">
        <f t="shared" si="9"/>
        <v>68</v>
      </c>
      <c r="L775" s="411" t="str">
        <f t="shared" si="10"/>
        <v/>
      </c>
      <c r="M775" s="407" t="str">
        <f t="shared" si="2"/>
        <v/>
      </c>
      <c r="N775" s="407">
        <f t="shared" si="3"/>
        <v>0</v>
      </c>
      <c r="O775" s="407" t="str">
        <f t="shared" si="4"/>
        <v/>
      </c>
      <c r="P775" s="1"/>
    </row>
    <row r="776" ht="12.75" customHeight="1">
      <c r="A776" s="1">
        <v>765.0</v>
      </c>
      <c r="B776" s="408" t="str">
        <f t="shared" si="5"/>
        <v/>
      </c>
      <c r="C776" s="408">
        <f t="shared" si="6"/>
        <v>0</v>
      </c>
      <c r="D776" s="408" t="str">
        <f t="shared" si="7"/>
        <v/>
      </c>
      <c r="E776" s="176" t="str">
        <f t="shared" si="8"/>
        <v/>
      </c>
      <c r="F776" s="408" t="str">
        <f t="shared" si="11"/>
        <v/>
      </c>
      <c r="G776" s="408" t="str">
        <f t="shared" si="12"/>
        <v/>
      </c>
      <c r="H776" s="410">
        <f>IF(K776&gt;='Pro Forma Detail'!D$66,'Pro Forma Detail'!D$67,'Debt ReFi'!$B$5)</f>
        <v>0.0275</v>
      </c>
      <c r="I776" s="1" t="str">
        <f t="shared" si="1"/>
        <v/>
      </c>
      <c r="J776" s="406">
        <f t="shared" si="13"/>
        <v>68912</v>
      </c>
      <c r="K776" s="105">
        <f t="shared" si="9"/>
        <v>68</v>
      </c>
      <c r="L776" s="411" t="str">
        <f t="shared" si="10"/>
        <v/>
      </c>
      <c r="M776" s="407" t="str">
        <f t="shared" si="2"/>
        <v/>
      </c>
      <c r="N776" s="407">
        <f t="shared" si="3"/>
        <v>0</v>
      </c>
      <c r="O776" s="407" t="str">
        <f t="shared" si="4"/>
        <v/>
      </c>
      <c r="P776" s="1"/>
    </row>
    <row r="777" ht="12.75" customHeight="1">
      <c r="A777" s="1">
        <v>766.0</v>
      </c>
      <c r="B777" s="408" t="str">
        <f t="shared" si="5"/>
        <v/>
      </c>
      <c r="C777" s="408">
        <f t="shared" si="6"/>
        <v>0</v>
      </c>
      <c r="D777" s="408" t="str">
        <f t="shared" si="7"/>
        <v/>
      </c>
      <c r="E777" s="176" t="str">
        <f t="shared" si="8"/>
        <v/>
      </c>
      <c r="F777" s="408" t="str">
        <f t="shared" si="11"/>
        <v/>
      </c>
      <c r="G777" s="408" t="str">
        <f t="shared" si="12"/>
        <v/>
      </c>
      <c r="H777" s="410">
        <f>IF(K777&gt;='Pro Forma Detail'!D$66,'Pro Forma Detail'!D$67,'Debt ReFi'!$B$5)</f>
        <v>0.0275</v>
      </c>
      <c r="I777" s="1" t="str">
        <f t="shared" si="1"/>
        <v/>
      </c>
      <c r="J777" s="406">
        <f t="shared" si="13"/>
        <v>68942</v>
      </c>
      <c r="K777" s="105">
        <f t="shared" si="9"/>
        <v>68</v>
      </c>
      <c r="L777" s="411" t="str">
        <f t="shared" si="10"/>
        <v/>
      </c>
      <c r="M777" s="407" t="str">
        <f t="shared" si="2"/>
        <v/>
      </c>
      <c r="N777" s="407">
        <f t="shared" si="3"/>
        <v>0</v>
      </c>
      <c r="O777" s="407" t="str">
        <f t="shared" si="4"/>
        <v/>
      </c>
      <c r="P777" s="1"/>
    </row>
    <row r="778" ht="12.75" customHeight="1">
      <c r="A778" s="1">
        <v>767.0</v>
      </c>
      <c r="B778" s="408" t="str">
        <f t="shared" si="5"/>
        <v/>
      </c>
      <c r="C778" s="408">
        <f t="shared" si="6"/>
        <v>0</v>
      </c>
      <c r="D778" s="408" t="str">
        <f t="shared" si="7"/>
        <v/>
      </c>
      <c r="E778" s="176" t="str">
        <f t="shared" si="8"/>
        <v/>
      </c>
      <c r="F778" s="408" t="str">
        <f t="shared" si="11"/>
        <v/>
      </c>
      <c r="G778" s="408" t="str">
        <f t="shared" si="12"/>
        <v/>
      </c>
      <c r="H778" s="410">
        <f>IF(K778&gt;='Pro Forma Detail'!D$66,'Pro Forma Detail'!D$67,'Debt ReFi'!$B$5)</f>
        <v>0.0275</v>
      </c>
      <c r="I778" s="1" t="str">
        <f t="shared" si="1"/>
        <v/>
      </c>
      <c r="J778" s="406">
        <f t="shared" si="13"/>
        <v>68973</v>
      </c>
      <c r="K778" s="105">
        <f t="shared" si="9"/>
        <v>68</v>
      </c>
      <c r="L778" s="411" t="str">
        <f t="shared" si="10"/>
        <v/>
      </c>
      <c r="M778" s="407" t="str">
        <f t="shared" si="2"/>
        <v/>
      </c>
      <c r="N778" s="407">
        <f t="shared" si="3"/>
        <v>0</v>
      </c>
      <c r="O778" s="407" t="str">
        <f t="shared" si="4"/>
        <v/>
      </c>
      <c r="P778" s="1"/>
    </row>
    <row r="779" ht="12.75" customHeight="1">
      <c r="A779" s="1">
        <v>768.0</v>
      </c>
      <c r="B779" s="408" t="str">
        <f t="shared" si="5"/>
        <v/>
      </c>
      <c r="C779" s="408">
        <f t="shared" si="6"/>
        <v>0</v>
      </c>
      <c r="D779" s="408" t="str">
        <f t="shared" si="7"/>
        <v/>
      </c>
      <c r="E779" s="176" t="str">
        <f t="shared" si="8"/>
        <v/>
      </c>
      <c r="F779" s="408" t="str">
        <f t="shared" si="11"/>
        <v/>
      </c>
      <c r="G779" s="408" t="str">
        <f t="shared" si="12"/>
        <v/>
      </c>
      <c r="H779" s="410">
        <f>IF(K779&gt;='Pro Forma Detail'!D$66,'Pro Forma Detail'!D$67,'Debt ReFi'!$B$5)</f>
        <v>0.0275</v>
      </c>
      <c r="I779" s="1" t="str">
        <f t="shared" si="1"/>
        <v/>
      </c>
      <c r="J779" s="406">
        <f t="shared" si="13"/>
        <v>69003</v>
      </c>
      <c r="K779" s="105">
        <f t="shared" si="9"/>
        <v>68</v>
      </c>
      <c r="L779" s="411" t="str">
        <f t="shared" si="10"/>
        <v/>
      </c>
      <c r="M779" s="407" t="str">
        <f t="shared" si="2"/>
        <v/>
      </c>
      <c r="N779" s="407">
        <f t="shared" si="3"/>
        <v>0</v>
      </c>
      <c r="O779" s="407" t="str">
        <f t="shared" si="4"/>
        <v/>
      </c>
      <c r="P779" s="1"/>
    </row>
    <row r="780" ht="12.75" customHeight="1">
      <c r="A780" s="1">
        <v>769.0</v>
      </c>
      <c r="B780" s="408" t="str">
        <f t="shared" si="5"/>
        <v/>
      </c>
      <c r="C780" s="408">
        <f t="shared" si="6"/>
        <v>0</v>
      </c>
      <c r="D780" s="408" t="str">
        <f t="shared" si="7"/>
        <v/>
      </c>
      <c r="E780" s="176" t="str">
        <f t="shared" si="8"/>
        <v/>
      </c>
      <c r="F780" s="408" t="str">
        <f t="shared" si="11"/>
        <v/>
      </c>
      <c r="G780" s="408" t="str">
        <f t="shared" si="12"/>
        <v/>
      </c>
      <c r="H780" s="410">
        <f>IF(K780&gt;='Pro Forma Detail'!D$66,'Pro Forma Detail'!D$67,'Debt ReFi'!$B$5)</f>
        <v>0.0275</v>
      </c>
      <c r="I780" s="1" t="str">
        <f t="shared" si="1"/>
        <v/>
      </c>
      <c r="J780" s="406">
        <f t="shared" si="13"/>
        <v>69034</v>
      </c>
      <c r="K780" s="105">
        <f t="shared" si="9"/>
        <v>69</v>
      </c>
      <c r="L780" s="411" t="str">
        <f t="shared" si="10"/>
        <v/>
      </c>
      <c r="M780" s="407" t="str">
        <f t="shared" si="2"/>
        <v/>
      </c>
      <c r="N780" s="407">
        <f t="shared" si="3"/>
        <v>0</v>
      </c>
      <c r="O780" s="407" t="str">
        <f t="shared" si="4"/>
        <v/>
      </c>
      <c r="P780" s="1"/>
    </row>
    <row r="781" ht="12.75" customHeight="1">
      <c r="A781" s="1">
        <v>770.0</v>
      </c>
      <c r="B781" s="408" t="str">
        <f t="shared" si="5"/>
        <v/>
      </c>
      <c r="C781" s="408">
        <f t="shared" si="6"/>
        <v>0</v>
      </c>
      <c r="D781" s="408" t="str">
        <f t="shared" si="7"/>
        <v/>
      </c>
      <c r="E781" s="176" t="str">
        <f t="shared" si="8"/>
        <v/>
      </c>
      <c r="F781" s="408" t="str">
        <f t="shared" si="11"/>
        <v/>
      </c>
      <c r="G781" s="408" t="str">
        <f t="shared" si="12"/>
        <v/>
      </c>
      <c r="H781" s="410">
        <f>IF(K781&gt;='Pro Forma Detail'!D$66,'Pro Forma Detail'!D$67,'Debt ReFi'!$B$5)</f>
        <v>0.0275</v>
      </c>
      <c r="I781" s="1" t="str">
        <f t="shared" si="1"/>
        <v/>
      </c>
      <c r="J781" s="406">
        <f t="shared" si="13"/>
        <v>69065</v>
      </c>
      <c r="K781" s="105">
        <f t="shared" si="9"/>
        <v>69</v>
      </c>
      <c r="L781" s="411" t="str">
        <f t="shared" si="10"/>
        <v/>
      </c>
      <c r="M781" s="407" t="str">
        <f t="shared" si="2"/>
        <v/>
      </c>
      <c r="N781" s="407">
        <f t="shared" si="3"/>
        <v>0</v>
      </c>
      <c r="O781" s="407" t="str">
        <f t="shared" si="4"/>
        <v/>
      </c>
      <c r="P781" s="1"/>
    </row>
    <row r="782" ht="12.75" customHeight="1">
      <c r="A782" s="1">
        <v>771.0</v>
      </c>
      <c r="B782" s="408" t="str">
        <f t="shared" si="5"/>
        <v/>
      </c>
      <c r="C782" s="408">
        <f t="shared" si="6"/>
        <v>0</v>
      </c>
      <c r="D782" s="408" t="str">
        <f t="shared" si="7"/>
        <v/>
      </c>
      <c r="E782" s="176" t="str">
        <f t="shared" si="8"/>
        <v/>
      </c>
      <c r="F782" s="408" t="str">
        <f t="shared" si="11"/>
        <v/>
      </c>
      <c r="G782" s="408" t="str">
        <f t="shared" si="12"/>
        <v/>
      </c>
      <c r="H782" s="410">
        <f>IF(K782&gt;='Pro Forma Detail'!D$66,'Pro Forma Detail'!D$67,'Debt ReFi'!$B$5)</f>
        <v>0.0275</v>
      </c>
      <c r="I782" s="1" t="str">
        <f t="shared" si="1"/>
        <v/>
      </c>
      <c r="J782" s="406">
        <f t="shared" si="13"/>
        <v>69093</v>
      </c>
      <c r="K782" s="105">
        <f t="shared" si="9"/>
        <v>69</v>
      </c>
      <c r="L782" s="411" t="str">
        <f t="shared" si="10"/>
        <v/>
      </c>
      <c r="M782" s="407" t="str">
        <f t="shared" si="2"/>
        <v/>
      </c>
      <c r="N782" s="407">
        <f t="shared" si="3"/>
        <v>0</v>
      </c>
      <c r="O782" s="407" t="str">
        <f t="shared" si="4"/>
        <v/>
      </c>
      <c r="P782" s="1"/>
    </row>
    <row r="783" ht="12.75" customHeight="1">
      <c r="A783" s="1">
        <v>772.0</v>
      </c>
      <c r="B783" s="408" t="str">
        <f t="shared" si="5"/>
        <v/>
      </c>
      <c r="C783" s="408">
        <f t="shared" si="6"/>
        <v>0</v>
      </c>
      <c r="D783" s="408" t="str">
        <f t="shared" si="7"/>
        <v/>
      </c>
      <c r="E783" s="176" t="str">
        <f t="shared" si="8"/>
        <v/>
      </c>
      <c r="F783" s="408" t="str">
        <f t="shared" si="11"/>
        <v/>
      </c>
      <c r="G783" s="408" t="str">
        <f t="shared" si="12"/>
        <v/>
      </c>
      <c r="H783" s="410">
        <f>IF(K783&gt;='Pro Forma Detail'!D$66,'Pro Forma Detail'!D$67,'Debt ReFi'!$B$5)</f>
        <v>0.0275</v>
      </c>
      <c r="I783" s="1" t="str">
        <f t="shared" si="1"/>
        <v/>
      </c>
      <c r="J783" s="406">
        <f t="shared" si="13"/>
        <v>69124</v>
      </c>
      <c r="K783" s="105">
        <f t="shared" si="9"/>
        <v>69</v>
      </c>
      <c r="L783" s="411" t="str">
        <f t="shared" si="10"/>
        <v/>
      </c>
      <c r="M783" s="407" t="str">
        <f t="shared" si="2"/>
        <v/>
      </c>
      <c r="N783" s="407">
        <f t="shared" si="3"/>
        <v>0</v>
      </c>
      <c r="O783" s="407" t="str">
        <f t="shared" si="4"/>
        <v/>
      </c>
      <c r="P783" s="1"/>
    </row>
    <row r="784" ht="12.75" customHeight="1">
      <c r="A784" s="1">
        <v>773.0</v>
      </c>
      <c r="B784" s="408" t="str">
        <f t="shared" si="5"/>
        <v/>
      </c>
      <c r="C784" s="408">
        <f t="shared" si="6"/>
        <v>0</v>
      </c>
      <c r="D784" s="408" t="str">
        <f t="shared" si="7"/>
        <v/>
      </c>
      <c r="E784" s="176" t="str">
        <f t="shared" si="8"/>
        <v/>
      </c>
      <c r="F784" s="408" t="str">
        <f t="shared" si="11"/>
        <v/>
      </c>
      <c r="G784" s="408" t="str">
        <f t="shared" si="12"/>
        <v/>
      </c>
      <c r="H784" s="410">
        <f>IF(K784&gt;='Pro Forma Detail'!D$66,'Pro Forma Detail'!D$67,'Debt ReFi'!$B$5)</f>
        <v>0.0275</v>
      </c>
      <c r="I784" s="1" t="str">
        <f t="shared" si="1"/>
        <v/>
      </c>
      <c r="J784" s="406">
        <f t="shared" si="13"/>
        <v>69154</v>
      </c>
      <c r="K784" s="105">
        <f t="shared" si="9"/>
        <v>69</v>
      </c>
      <c r="L784" s="411" t="str">
        <f t="shared" si="10"/>
        <v/>
      </c>
      <c r="M784" s="407" t="str">
        <f t="shared" si="2"/>
        <v/>
      </c>
      <c r="N784" s="407">
        <f t="shared" si="3"/>
        <v>0</v>
      </c>
      <c r="O784" s="407" t="str">
        <f t="shared" si="4"/>
        <v/>
      </c>
      <c r="P784" s="1"/>
    </row>
    <row r="785" ht="12.75" customHeight="1">
      <c r="A785" s="1">
        <v>774.0</v>
      </c>
      <c r="B785" s="408" t="str">
        <f t="shared" si="5"/>
        <v/>
      </c>
      <c r="C785" s="408">
        <f t="shared" si="6"/>
        <v>0</v>
      </c>
      <c r="D785" s="408" t="str">
        <f t="shared" si="7"/>
        <v/>
      </c>
      <c r="E785" s="176" t="str">
        <f t="shared" si="8"/>
        <v/>
      </c>
      <c r="F785" s="408" t="str">
        <f t="shared" si="11"/>
        <v/>
      </c>
      <c r="G785" s="408" t="str">
        <f t="shared" si="12"/>
        <v/>
      </c>
      <c r="H785" s="410">
        <f>IF(K785&gt;='Pro Forma Detail'!D$66,'Pro Forma Detail'!D$67,'Debt ReFi'!$B$5)</f>
        <v>0.0275</v>
      </c>
      <c r="I785" s="1" t="str">
        <f t="shared" si="1"/>
        <v/>
      </c>
      <c r="J785" s="406">
        <f t="shared" si="13"/>
        <v>69185</v>
      </c>
      <c r="K785" s="105">
        <f t="shared" si="9"/>
        <v>69</v>
      </c>
      <c r="L785" s="411" t="str">
        <f t="shared" si="10"/>
        <v/>
      </c>
      <c r="M785" s="407" t="str">
        <f t="shared" si="2"/>
        <v/>
      </c>
      <c r="N785" s="407">
        <f t="shared" si="3"/>
        <v>0</v>
      </c>
      <c r="O785" s="407" t="str">
        <f t="shared" si="4"/>
        <v/>
      </c>
      <c r="P785" s="1"/>
    </row>
    <row r="786" ht="12.75" customHeight="1">
      <c r="A786" s="1">
        <v>775.0</v>
      </c>
      <c r="B786" s="408" t="str">
        <f t="shared" si="5"/>
        <v/>
      </c>
      <c r="C786" s="408">
        <f t="shared" si="6"/>
        <v>0</v>
      </c>
      <c r="D786" s="408" t="str">
        <f t="shared" si="7"/>
        <v/>
      </c>
      <c r="E786" s="176" t="str">
        <f t="shared" si="8"/>
        <v/>
      </c>
      <c r="F786" s="408" t="str">
        <f t="shared" si="11"/>
        <v/>
      </c>
      <c r="G786" s="408" t="str">
        <f t="shared" si="12"/>
        <v/>
      </c>
      <c r="H786" s="410">
        <f>IF(K786&gt;='Pro Forma Detail'!D$66,'Pro Forma Detail'!D$67,'Debt ReFi'!$B$5)</f>
        <v>0.0275</v>
      </c>
      <c r="I786" s="1" t="str">
        <f t="shared" si="1"/>
        <v/>
      </c>
      <c r="J786" s="406">
        <f t="shared" si="13"/>
        <v>69215</v>
      </c>
      <c r="K786" s="105">
        <f t="shared" si="9"/>
        <v>69</v>
      </c>
      <c r="L786" s="411" t="str">
        <f t="shared" si="10"/>
        <v/>
      </c>
      <c r="M786" s="407" t="str">
        <f t="shared" si="2"/>
        <v/>
      </c>
      <c r="N786" s="407">
        <f t="shared" si="3"/>
        <v>0</v>
      </c>
      <c r="O786" s="407" t="str">
        <f t="shared" si="4"/>
        <v/>
      </c>
      <c r="P786" s="1"/>
    </row>
    <row r="787" ht="12.75" customHeight="1">
      <c r="A787" s="1">
        <v>776.0</v>
      </c>
      <c r="B787" s="408" t="str">
        <f t="shared" si="5"/>
        <v/>
      </c>
      <c r="C787" s="408">
        <f t="shared" si="6"/>
        <v>0</v>
      </c>
      <c r="D787" s="408" t="str">
        <f t="shared" si="7"/>
        <v/>
      </c>
      <c r="E787" s="176" t="str">
        <f t="shared" si="8"/>
        <v/>
      </c>
      <c r="F787" s="408" t="str">
        <f t="shared" si="11"/>
        <v/>
      </c>
      <c r="G787" s="408" t="str">
        <f t="shared" si="12"/>
        <v/>
      </c>
      <c r="H787" s="410">
        <f>IF(K787&gt;='Pro Forma Detail'!D$66,'Pro Forma Detail'!D$67,'Debt ReFi'!$B$5)</f>
        <v>0.0275</v>
      </c>
      <c r="I787" s="1" t="str">
        <f t="shared" si="1"/>
        <v/>
      </c>
      <c r="J787" s="406">
        <f t="shared" si="13"/>
        <v>69246</v>
      </c>
      <c r="K787" s="105">
        <f t="shared" si="9"/>
        <v>69</v>
      </c>
      <c r="L787" s="411" t="str">
        <f t="shared" si="10"/>
        <v/>
      </c>
      <c r="M787" s="407" t="str">
        <f t="shared" si="2"/>
        <v/>
      </c>
      <c r="N787" s="407">
        <f t="shared" si="3"/>
        <v>0</v>
      </c>
      <c r="O787" s="407" t="str">
        <f t="shared" si="4"/>
        <v/>
      </c>
      <c r="P787" s="1"/>
    </row>
    <row r="788" ht="12.75" customHeight="1">
      <c r="A788" s="1">
        <v>777.0</v>
      </c>
      <c r="B788" s="408" t="str">
        <f t="shared" si="5"/>
        <v/>
      </c>
      <c r="C788" s="408">
        <f t="shared" si="6"/>
        <v>0</v>
      </c>
      <c r="D788" s="408" t="str">
        <f t="shared" si="7"/>
        <v/>
      </c>
      <c r="E788" s="176" t="str">
        <f t="shared" si="8"/>
        <v/>
      </c>
      <c r="F788" s="408" t="str">
        <f t="shared" si="11"/>
        <v/>
      </c>
      <c r="G788" s="408" t="str">
        <f t="shared" si="12"/>
        <v/>
      </c>
      <c r="H788" s="410">
        <f>IF(K788&gt;='Pro Forma Detail'!D$66,'Pro Forma Detail'!D$67,'Debt ReFi'!$B$5)</f>
        <v>0.0275</v>
      </c>
      <c r="I788" s="1" t="str">
        <f t="shared" si="1"/>
        <v/>
      </c>
      <c r="J788" s="406">
        <f t="shared" si="13"/>
        <v>69277</v>
      </c>
      <c r="K788" s="105">
        <f t="shared" si="9"/>
        <v>69</v>
      </c>
      <c r="L788" s="411" t="str">
        <f t="shared" si="10"/>
        <v/>
      </c>
      <c r="M788" s="407" t="str">
        <f t="shared" si="2"/>
        <v/>
      </c>
      <c r="N788" s="407">
        <f t="shared" si="3"/>
        <v>0</v>
      </c>
      <c r="O788" s="407" t="str">
        <f t="shared" si="4"/>
        <v/>
      </c>
      <c r="P788" s="1"/>
    </row>
    <row r="789" ht="12.75" customHeight="1">
      <c r="A789" s="1">
        <v>778.0</v>
      </c>
      <c r="B789" s="408" t="str">
        <f t="shared" si="5"/>
        <v/>
      </c>
      <c r="C789" s="408">
        <f t="shared" si="6"/>
        <v>0</v>
      </c>
      <c r="D789" s="408" t="str">
        <f t="shared" si="7"/>
        <v/>
      </c>
      <c r="E789" s="176" t="str">
        <f t="shared" si="8"/>
        <v/>
      </c>
      <c r="F789" s="408" t="str">
        <f t="shared" si="11"/>
        <v/>
      </c>
      <c r="G789" s="408" t="str">
        <f t="shared" si="12"/>
        <v/>
      </c>
      <c r="H789" s="410">
        <f>IF(K789&gt;='Pro Forma Detail'!D$66,'Pro Forma Detail'!D$67,'Debt ReFi'!$B$5)</f>
        <v>0.0275</v>
      </c>
      <c r="I789" s="1" t="str">
        <f t="shared" si="1"/>
        <v/>
      </c>
      <c r="J789" s="406">
        <f t="shared" si="13"/>
        <v>69307</v>
      </c>
      <c r="K789" s="105">
        <f t="shared" si="9"/>
        <v>69</v>
      </c>
      <c r="L789" s="411" t="str">
        <f t="shared" si="10"/>
        <v/>
      </c>
      <c r="M789" s="407" t="str">
        <f t="shared" si="2"/>
        <v/>
      </c>
      <c r="N789" s="407">
        <f t="shared" si="3"/>
        <v>0</v>
      </c>
      <c r="O789" s="407" t="str">
        <f t="shared" si="4"/>
        <v/>
      </c>
      <c r="P789" s="1"/>
    </row>
    <row r="790" ht="12.75" customHeight="1">
      <c r="A790" s="1">
        <v>779.0</v>
      </c>
      <c r="B790" s="408" t="str">
        <f t="shared" si="5"/>
        <v/>
      </c>
      <c r="C790" s="408">
        <f t="shared" si="6"/>
        <v>0</v>
      </c>
      <c r="D790" s="408" t="str">
        <f t="shared" si="7"/>
        <v/>
      </c>
      <c r="E790" s="176" t="str">
        <f t="shared" si="8"/>
        <v/>
      </c>
      <c r="F790" s="408" t="str">
        <f t="shared" si="11"/>
        <v/>
      </c>
      <c r="G790" s="408" t="str">
        <f t="shared" si="12"/>
        <v/>
      </c>
      <c r="H790" s="410">
        <f>IF(K790&gt;='Pro Forma Detail'!D$66,'Pro Forma Detail'!D$67,'Debt ReFi'!$B$5)</f>
        <v>0.0275</v>
      </c>
      <c r="I790" s="1" t="str">
        <f t="shared" si="1"/>
        <v/>
      </c>
      <c r="J790" s="406">
        <f t="shared" si="13"/>
        <v>69338</v>
      </c>
      <c r="K790" s="105">
        <f t="shared" si="9"/>
        <v>69</v>
      </c>
      <c r="L790" s="411" t="str">
        <f t="shared" si="10"/>
        <v/>
      </c>
      <c r="M790" s="407" t="str">
        <f t="shared" si="2"/>
        <v/>
      </c>
      <c r="N790" s="407">
        <f t="shared" si="3"/>
        <v>0</v>
      </c>
      <c r="O790" s="407" t="str">
        <f t="shared" si="4"/>
        <v/>
      </c>
      <c r="P790" s="1"/>
    </row>
    <row r="791" ht="12.75" customHeight="1">
      <c r="A791" s="1">
        <v>780.0</v>
      </c>
      <c r="B791" s="408" t="str">
        <f t="shared" si="5"/>
        <v/>
      </c>
      <c r="C791" s="408">
        <f t="shared" si="6"/>
        <v>0</v>
      </c>
      <c r="D791" s="408" t="str">
        <f t="shared" si="7"/>
        <v/>
      </c>
      <c r="E791" s="176" t="str">
        <f t="shared" si="8"/>
        <v/>
      </c>
      <c r="F791" s="408" t="str">
        <f t="shared" si="11"/>
        <v/>
      </c>
      <c r="G791" s="408" t="str">
        <f t="shared" si="12"/>
        <v/>
      </c>
      <c r="H791" s="410">
        <f>IF(K791&gt;='Pro Forma Detail'!D$66,'Pro Forma Detail'!D$67,'Debt ReFi'!$B$5)</f>
        <v>0.0275</v>
      </c>
      <c r="I791" s="1" t="str">
        <f t="shared" si="1"/>
        <v/>
      </c>
      <c r="J791" s="406">
        <f t="shared" si="13"/>
        <v>69368</v>
      </c>
      <c r="K791" s="105">
        <f t="shared" si="9"/>
        <v>69</v>
      </c>
      <c r="L791" s="411" t="str">
        <f t="shared" si="10"/>
        <v/>
      </c>
      <c r="M791" s="407" t="str">
        <f t="shared" si="2"/>
        <v/>
      </c>
      <c r="N791" s="407">
        <f t="shared" si="3"/>
        <v>0</v>
      </c>
      <c r="O791" s="407" t="str">
        <f t="shared" si="4"/>
        <v/>
      </c>
      <c r="P791" s="1"/>
    </row>
    <row r="792" ht="12.75" customHeight="1">
      <c r="A792" s="1">
        <v>781.0</v>
      </c>
      <c r="B792" s="408" t="str">
        <f t="shared" si="5"/>
        <v/>
      </c>
      <c r="C792" s="408">
        <f t="shared" si="6"/>
        <v>0</v>
      </c>
      <c r="D792" s="408" t="str">
        <f t="shared" si="7"/>
        <v/>
      </c>
      <c r="E792" s="176" t="str">
        <f t="shared" si="8"/>
        <v/>
      </c>
      <c r="F792" s="408" t="str">
        <f t="shared" si="11"/>
        <v/>
      </c>
      <c r="G792" s="408" t="str">
        <f t="shared" si="12"/>
        <v/>
      </c>
      <c r="H792" s="410">
        <f>IF(K792&gt;='Pro Forma Detail'!D$66,'Pro Forma Detail'!D$67,'Debt ReFi'!$B$5)</f>
        <v>0.0275</v>
      </c>
      <c r="I792" s="1" t="str">
        <f t="shared" si="1"/>
        <v/>
      </c>
      <c r="J792" s="406">
        <f t="shared" si="13"/>
        <v>69399</v>
      </c>
      <c r="K792" s="105">
        <f t="shared" si="9"/>
        <v>70</v>
      </c>
      <c r="L792" s="411" t="str">
        <f t="shared" si="10"/>
        <v/>
      </c>
      <c r="M792" s="407" t="str">
        <f t="shared" si="2"/>
        <v/>
      </c>
      <c r="N792" s="407">
        <f t="shared" si="3"/>
        <v>0</v>
      </c>
      <c r="O792" s="407" t="str">
        <f t="shared" si="4"/>
        <v/>
      </c>
      <c r="P792" s="1"/>
    </row>
    <row r="793" ht="12.75" customHeight="1">
      <c r="A793" s="1">
        <v>782.0</v>
      </c>
      <c r="B793" s="408" t="str">
        <f t="shared" si="5"/>
        <v/>
      </c>
      <c r="C793" s="408">
        <f t="shared" si="6"/>
        <v>0</v>
      </c>
      <c r="D793" s="408" t="str">
        <f t="shared" si="7"/>
        <v/>
      </c>
      <c r="E793" s="176" t="str">
        <f t="shared" si="8"/>
        <v/>
      </c>
      <c r="F793" s="408" t="str">
        <f t="shared" si="11"/>
        <v/>
      </c>
      <c r="G793" s="408" t="str">
        <f t="shared" si="12"/>
        <v/>
      </c>
      <c r="H793" s="410">
        <f>IF(K793&gt;='Pro Forma Detail'!D$66,'Pro Forma Detail'!D$67,'Debt ReFi'!$B$5)</f>
        <v>0.0275</v>
      </c>
      <c r="I793" s="1" t="str">
        <f t="shared" si="1"/>
        <v/>
      </c>
      <c r="J793" s="406">
        <f t="shared" si="13"/>
        <v>69430</v>
      </c>
      <c r="K793" s="105">
        <f t="shared" si="9"/>
        <v>70</v>
      </c>
      <c r="L793" s="411" t="str">
        <f t="shared" si="10"/>
        <v/>
      </c>
      <c r="M793" s="407" t="str">
        <f t="shared" si="2"/>
        <v/>
      </c>
      <c r="N793" s="407">
        <f t="shared" si="3"/>
        <v>0</v>
      </c>
      <c r="O793" s="407" t="str">
        <f t="shared" si="4"/>
        <v/>
      </c>
      <c r="P793" s="1"/>
    </row>
    <row r="794" ht="12.75" customHeight="1">
      <c r="A794" s="1">
        <v>783.0</v>
      </c>
      <c r="B794" s="408" t="str">
        <f t="shared" si="5"/>
        <v/>
      </c>
      <c r="C794" s="408">
        <f t="shared" si="6"/>
        <v>0</v>
      </c>
      <c r="D794" s="408" t="str">
        <f t="shared" si="7"/>
        <v/>
      </c>
      <c r="E794" s="176" t="str">
        <f t="shared" si="8"/>
        <v/>
      </c>
      <c r="F794" s="408" t="str">
        <f t="shared" si="11"/>
        <v/>
      </c>
      <c r="G794" s="408" t="str">
        <f t="shared" si="12"/>
        <v/>
      </c>
      <c r="H794" s="410">
        <f>IF(K794&gt;='Pro Forma Detail'!D$66,'Pro Forma Detail'!D$67,'Debt ReFi'!$B$5)</f>
        <v>0.0275</v>
      </c>
      <c r="I794" s="1" t="str">
        <f t="shared" si="1"/>
        <v/>
      </c>
      <c r="J794" s="406">
        <f t="shared" si="13"/>
        <v>69458</v>
      </c>
      <c r="K794" s="105">
        <f t="shared" si="9"/>
        <v>70</v>
      </c>
      <c r="L794" s="411" t="str">
        <f t="shared" si="10"/>
        <v/>
      </c>
      <c r="M794" s="407" t="str">
        <f t="shared" si="2"/>
        <v/>
      </c>
      <c r="N794" s="407">
        <f t="shared" si="3"/>
        <v>0</v>
      </c>
      <c r="O794" s="407" t="str">
        <f t="shared" si="4"/>
        <v/>
      </c>
      <c r="P794" s="1"/>
    </row>
    <row r="795" ht="12.75" customHeight="1">
      <c r="A795" s="1">
        <v>784.0</v>
      </c>
      <c r="B795" s="408" t="str">
        <f t="shared" si="5"/>
        <v/>
      </c>
      <c r="C795" s="408">
        <f t="shared" si="6"/>
        <v>0</v>
      </c>
      <c r="D795" s="408" t="str">
        <f t="shared" si="7"/>
        <v/>
      </c>
      <c r="E795" s="176" t="str">
        <f t="shared" si="8"/>
        <v/>
      </c>
      <c r="F795" s="408" t="str">
        <f t="shared" si="11"/>
        <v/>
      </c>
      <c r="G795" s="408" t="str">
        <f t="shared" si="12"/>
        <v/>
      </c>
      <c r="H795" s="410">
        <f>IF(K795&gt;='Pro Forma Detail'!D$66,'Pro Forma Detail'!D$67,'Debt ReFi'!$B$5)</f>
        <v>0.0275</v>
      </c>
      <c r="I795" s="1" t="str">
        <f t="shared" si="1"/>
        <v/>
      </c>
      <c r="J795" s="406">
        <f t="shared" si="13"/>
        <v>69489</v>
      </c>
      <c r="K795" s="105">
        <f t="shared" si="9"/>
        <v>70</v>
      </c>
      <c r="L795" s="411" t="str">
        <f t="shared" si="10"/>
        <v/>
      </c>
      <c r="M795" s="407" t="str">
        <f t="shared" si="2"/>
        <v/>
      </c>
      <c r="N795" s="407">
        <f t="shared" si="3"/>
        <v>0</v>
      </c>
      <c r="O795" s="407" t="str">
        <f t="shared" si="4"/>
        <v/>
      </c>
      <c r="P795" s="1"/>
    </row>
    <row r="796" ht="12.75" customHeight="1">
      <c r="A796" s="1">
        <v>785.0</v>
      </c>
      <c r="B796" s="408" t="str">
        <f t="shared" si="5"/>
        <v/>
      </c>
      <c r="C796" s="408">
        <f t="shared" si="6"/>
        <v>0</v>
      </c>
      <c r="D796" s="408" t="str">
        <f t="shared" si="7"/>
        <v/>
      </c>
      <c r="E796" s="176" t="str">
        <f t="shared" si="8"/>
        <v/>
      </c>
      <c r="F796" s="408" t="str">
        <f t="shared" si="11"/>
        <v/>
      </c>
      <c r="G796" s="408" t="str">
        <f t="shared" si="12"/>
        <v/>
      </c>
      <c r="H796" s="410">
        <f>IF(K796&gt;='Pro Forma Detail'!D$66,'Pro Forma Detail'!D$67,'Debt ReFi'!$B$5)</f>
        <v>0.0275</v>
      </c>
      <c r="I796" s="1" t="str">
        <f t="shared" si="1"/>
        <v/>
      </c>
      <c r="J796" s="406">
        <f t="shared" si="13"/>
        <v>69519</v>
      </c>
      <c r="K796" s="105">
        <f t="shared" si="9"/>
        <v>70</v>
      </c>
      <c r="L796" s="411" t="str">
        <f t="shared" si="10"/>
        <v/>
      </c>
      <c r="M796" s="407" t="str">
        <f t="shared" si="2"/>
        <v/>
      </c>
      <c r="N796" s="407">
        <f t="shared" si="3"/>
        <v>0</v>
      </c>
      <c r="O796" s="407" t="str">
        <f t="shared" si="4"/>
        <v/>
      </c>
      <c r="P796" s="1"/>
    </row>
    <row r="797" ht="12.75" customHeight="1">
      <c r="A797" s="1">
        <v>786.0</v>
      </c>
      <c r="B797" s="408" t="str">
        <f t="shared" si="5"/>
        <v/>
      </c>
      <c r="C797" s="408">
        <f t="shared" si="6"/>
        <v>0</v>
      </c>
      <c r="D797" s="408" t="str">
        <f t="shared" si="7"/>
        <v/>
      </c>
      <c r="E797" s="176" t="str">
        <f t="shared" si="8"/>
        <v/>
      </c>
      <c r="F797" s="408" t="str">
        <f t="shared" si="11"/>
        <v/>
      </c>
      <c r="G797" s="408" t="str">
        <f t="shared" si="12"/>
        <v/>
      </c>
      <c r="H797" s="410">
        <f>IF(K797&gt;='Pro Forma Detail'!D$66,'Pro Forma Detail'!D$67,'Debt ReFi'!$B$5)</f>
        <v>0.0275</v>
      </c>
      <c r="I797" s="1" t="str">
        <f t="shared" si="1"/>
        <v/>
      </c>
      <c r="J797" s="406">
        <f t="shared" si="13"/>
        <v>69550</v>
      </c>
      <c r="K797" s="105">
        <f t="shared" si="9"/>
        <v>70</v>
      </c>
      <c r="L797" s="411" t="str">
        <f t="shared" si="10"/>
        <v/>
      </c>
      <c r="M797" s="407" t="str">
        <f t="shared" si="2"/>
        <v/>
      </c>
      <c r="N797" s="407">
        <f t="shared" si="3"/>
        <v>0</v>
      </c>
      <c r="O797" s="407" t="str">
        <f t="shared" si="4"/>
        <v/>
      </c>
      <c r="P797" s="1"/>
    </row>
    <row r="798" ht="12.75" customHeight="1">
      <c r="A798" s="1">
        <v>787.0</v>
      </c>
      <c r="B798" s="408" t="str">
        <f t="shared" si="5"/>
        <v/>
      </c>
      <c r="C798" s="408">
        <f t="shared" si="6"/>
        <v>0</v>
      </c>
      <c r="D798" s="408" t="str">
        <f t="shared" si="7"/>
        <v/>
      </c>
      <c r="E798" s="176" t="str">
        <f t="shared" si="8"/>
        <v/>
      </c>
      <c r="F798" s="408" t="str">
        <f t="shared" si="11"/>
        <v/>
      </c>
      <c r="G798" s="408" t="str">
        <f t="shared" si="12"/>
        <v/>
      </c>
      <c r="H798" s="410">
        <f>IF(K798&gt;='Pro Forma Detail'!D$66,'Pro Forma Detail'!D$67,'Debt ReFi'!$B$5)</f>
        <v>0.0275</v>
      </c>
      <c r="I798" s="1" t="str">
        <f t="shared" si="1"/>
        <v/>
      </c>
      <c r="J798" s="406">
        <f t="shared" si="13"/>
        <v>69580</v>
      </c>
      <c r="K798" s="105">
        <f t="shared" si="9"/>
        <v>70</v>
      </c>
      <c r="L798" s="411" t="str">
        <f t="shared" si="10"/>
        <v/>
      </c>
      <c r="M798" s="407" t="str">
        <f t="shared" si="2"/>
        <v/>
      </c>
      <c r="N798" s="407">
        <f t="shared" si="3"/>
        <v>0</v>
      </c>
      <c r="O798" s="407" t="str">
        <f t="shared" si="4"/>
        <v/>
      </c>
      <c r="P798" s="1"/>
    </row>
    <row r="799" ht="12.75" customHeight="1">
      <c r="A799" s="1">
        <v>788.0</v>
      </c>
      <c r="B799" s="408" t="str">
        <f t="shared" si="5"/>
        <v/>
      </c>
      <c r="C799" s="408">
        <f t="shared" si="6"/>
        <v>0</v>
      </c>
      <c r="D799" s="408" t="str">
        <f t="shared" si="7"/>
        <v/>
      </c>
      <c r="E799" s="176" t="str">
        <f t="shared" si="8"/>
        <v/>
      </c>
      <c r="F799" s="408" t="str">
        <f t="shared" si="11"/>
        <v/>
      </c>
      <c r="G799" s="408" t="str">
        <f t="shared" si="12"/>
        <v/>
      </c>
      <c r="H799" s="410">
        <f>IF(K799&gt;='Pro Forma Detail'!D$66,'Pro Forma Detail'!D$67,'Debt ReFi'!$B$5)</f>
        <v>0.0275</v>
      </c>
      <c r="I799" s="1" t="str">
        <f t="shared" si="1"/>
        <v/>
      </c>
      <c r="J799" s="406">
        <f t="shared" si="13"/>
        <v>69611</v>
      </c>
      <c r="K799" s="105">
        <f t="shared" si="9"/>
        <v>70</v>
      </c>
      <c r="L799" s="411" t="str">
        <f t="shared" si="10"/>
        <v/>
      </c>
      <c r="M799" s="407" t="str">
        <f t="shared" si="2"/>
        <v/>
      </c>
      <c r="N799" s="407">
        <f t="shared" si="3"/>
        <v>0</v>
      </c>
      <c r="O799" s="407" t="str">
        <f t="shared" si="4"/>
        <v/>
      </c>
      <c r="P799" s="1"/>
    </row>
    <row r="800" ht="12.75" customHeight="1">
      <c r="A800" s="1">
        <v>789.0</v>
      </c>
      <c r="B800" s="408" t="str">
        <f t="shared" si="5"/>
        <v/>
      </c>
      <c r="C800" s="408">
        <f t="shared" si="6"/>
        <v>0</v>
      </c>
      <c r="D800" s="408" t="str">
        <f t="shared" si="7"/>
        <v/>
      </c>
      <c r="E800" s="176" t="str">
        <f t="shared" si="8"/>
        <v/>
      </c>
      <c r="F800" s="408" t="str">
        <f t="shared" si="11"/>
        <v/>
      </c>
      <c r="G800" s="408" t="str">
        <f t="shared" si="12"/>
        <v/>
      </c>
      <c r="H800" s="410">
        <f>IF(K800&gt;='Pro Forma Detail'!D$66,'Pro Forma Detail'!D$67,'Debt ReFi'!$B$5)</f>
        <v>0.0275</v>
      </c>
      <c r="I800" s="1" t="str">
        <f t="shared" si="1"/>
        <v/>
      </c>
      <c r="J800" s="406">
        <f t="shared" si="13"/>
        <v>69642</v>
      </c>
      <c r="K800" s="105">
        <f t="shared" si="9"/>
        <v>70</v>
      </c>
      <c r="L800" s="411" t="str">
        <f t="shared" si="10"/>
        <v/>
      </c>
      <c r="M800" s="407" t="str">
        <f t="shared" si="2"/>
        <v/>
      </c>
      <c r="N800" s="407">
        <f t="shared" si="3"/>
        <v>0</v>
      </c>
      <c r="O800" s="407" t="str">
        <f t="shared" si="4"/>
        <v/>
      </c>
      <c r="P800" s="1"/>
    </row>
    <row r="801" ht="12.75" customHeight="1">
      <c r="A801" s="1">
        <v>790.0</v>
      </c>
      <c r="B801" s="408" t="str">
        <f t="shared" si="5"/>
        <v/>
      </c>
      <c r="C801" s="408">
        <f t="shared" si="6"/>
        <v>0</v>
      </c>
      <c r="D801" s="408" t="str">
        <f t="shared" si="7"/>
        <v/>
      </c>
      <c r="E801" s="176" t="str">
        <f t="shared" si="8"/>
        <v/>
      </c>
      <c r="F801" s="408" t="str">
        <f t="shared" si="11"/>
        <v/>
      </c>
      <c r="G801" s="408" t="str">
        <f t="shared" si="12"/>
        <v/>
      </c>
      <c r="H801" s="410">
        <f>IF(K801&gt;='Pro Forma Detail'!D$66,'Pro Forma Detail'!D$67,'Debt ReFi'!$B$5)</f>
        <v>0.0275</v>
      </c>
      <c r="I801" s="1" t="str">
        <f t="shared" si="1"/>
        <v/>
      </c>
      <c r="J801" s="406">
        <f t="shared" si="13"/>
        <v>69672</v>
      </c>
      <c r="K801" s="105">
        <f t="shared" si="9"/>
        <v>70</v>
      </c>
      <c r="L801" s="411" t="str">
        <f t="shared" si="10"/>
        <v/>
      </c>
      <c r="M801" s="407" t="str">
        <f t="shared" si="2"/>
        <v/>
      </c>
      <c r="N801" s="407">
        <f t="shared" si="3"/>
        <v>0</v>
      </c>
      <c r="O801" s="407" t="str">
        <f t="shared" si="4"/>
        <v/>
      </c>
      <c r="P801" s="1"/>
    </row>
    <row r="802" ht="12.75" customHeight="1">
      <c r="A802" s="1">
        <v>791.0</v>
      </c>
      <c r="B802" s="408" t="str">
        <f t="shared" si="5"/>
        <v/>
      </c>
      <c r="C802" s="408">
        <f t="shared" si="6"/>
        <v>0</v>
      </c>
      <c r="D802" s="408" t="str">
        <f t="shared" si="7"/>
        <v/>
      </c>
      <c r="E802" s="176" t="str">
        <f t="shared" si="8"/>
        <v/>
      </c>
      <c r="F802" s="408" t="str">
        <f t="shared" si="11"/>
        <v/>
      </c>
      <c r="G802" s="408" t="str">
        <f t="shared" si="12"/>
        <v/>
      </c>
      <c r="H802" s="410">
        <f>IF(K802&gt;='Pro Forma Detail'!D$66,'Pro Forma Detail'!D$67,'Debt ReFi'!$B$5)</f>
        <v>0.0275</v>
      </c>
      <c r="I802" s="1" t="str">
        <f t="shared" si="1"/>
        <v/>
      </c>
      <c r="J802" s="406">
        <f t="shared" si="13"/>
        <v>69703</v>
      </c>
      <c r="K802" s="105">
        <f t="shared" si="9"/>
        <v>70</v>
      </c>
      <c r="L802" s="411" t="str">
        <f t="shared" si="10"/>
        <v/>
      </c>
      <c r="M802" s="407" t="str">
        <f t="shared" si="2"/>
        <v/>
      </c>
      <c r="N802" s="407">
        <f t="shared" si="3"/>
        <v>0</v>
      </c>
      <c r="O802" s="407" t="str">
        <f t="shared" si="4"/>
        <v/>
      </c>
      <c r="P802" s="1"/>
    </row>
    <row r="803" ht="12.75" customHeight="1">
      <c r="A803" s="1">
        <v>792.0</v>
      </c>
      <c r="B803" s="408" t="str">
        <f t="shared" si="5"/>
        <v/>
      </c>
      <c r="C803" s="408">
        <f t="shared" si="6"/>
        <v>0</v>
      </c>
      <c r="D803" s="408" t="str">
        <f t="shared" si="7"/>
        <v/>
      </c>
      <c r="E803" s="176" t="str">
        <f t="shared" si="8"/>
        <v/>
      </c>
      <c r="F803" s="408" t="str">
        <f t="shared" si="11"/>
        <v/>
      </c>
      <c r="G803" s="408" t="str">
        <f t="shared" si="12"/>
        <v/>
      </c>
      <c r="H803" s="410">
        <f>IF(K803&gt;='Pro Forma Detail'!D$66,'Pro Forma Detail'!D$67,'Debt ReFi'!$B$5)</f>
        <v>0.0275</v>
      </c>
      <c r="I803" s="1" t="str">
        <f t="shared" si="1"/>
        <v/>
      </c>
      <c r="J803" s="406">
        <f t="shared" si="13"/>
        <v>69733</v>
      </c>
      <c r="K803" s="105">
        <f t="shared" si="9"/>
        <v>70</v>
      </c>
      <c r="L803" s="411" t="str">
        <f t="shared" si="10"/>
        <v/>
      </c>
      <c r="M803" s="407" t="str">
        <f t="shared" si="2"/>
        <v/>
      </c>
      <c r="N803" s="407">
        <f t="shared" si="3"/>
        <v>0</v>
      </c>
      <c r="O803" s="407" t="str">
        <f t="shared" si="4"/>
        <v/>
      </c>
      <c r="P803" s="1"/>
    </row>
    <row r="804" ht="12.75" customHeight="1">
      <c r="A804" s="1">
        <v>793.0</v>
      </c>
      <c r="B804" s="408" t="str">
        <f t="shared" si="5"/>
        <v/>
      </c>
      <c r="C804" s="408">
        <f t="shared" si="6"/>
        <v>0</v>
      </c>
      <c r="D804" s="408" t="str">
        <f t="shared" si="7"/>
        <v/>
      </c>
      <c r="E804" s="176" t="str">
        <f t="shared" si="8"/>
        <v/>
      </c>
      <c r="F804" s="408" t="str">
        <f t="shared" si="11"/>
        <v/>
      </c>
      <c r="G804" s="408" t="str">
        <f t="shared" si="12"/>
        <v/>
      </c>
      <c r="H804" s="410">
        <f>IF(K804&gt;='Pro Forma Detail'!D$66,'Pro Forma Detail'!D$67,'Debt ReFi'!$B$5)</f>
        <v>0.0275</v>
      </c>
      <c r="I804" s="1" t="str">
        <f t="shared" si="1"/>
        <v/>
      </c>
      <c r="J804" s="406">
        <f t="shared" si="13"/>
        <v>69764</v>
      </c>
      <c r="K804" s="105">
        <f t="shared" si="9"/>
        <v>71</v>
      </c>
      <c r="L804" s="411" t="str">
        <f t="shared" si="10"/>
        <v/>
      </c>
      <c r="M804" s="407" t="str">
        <f t="shared" si="2"/>
        <v/>
      </c>
      <c r="N804" s="407">
        <f t="shared" si="3"/>
        <v>0</v>
      </c>
      <c r="O804" s="407" t="str">
        <f t="shared" si="4"/>
        <v/>
      </c>
      <c r="P804" s="1"/>
    </row>
    <row r="805" ht="12.75" customHeight="1">
      <c r="A805" s="1">
        <v>794.0</v>
      </c>
      <c r="B805" s="408" t="str">
        <f t="shared" si="5"/>
        <v/>
      </c>
      <c r="C805" s="408">
        <f t="shared" si="6"/>
        <v>0</v>
      </c>
      <c r="D805" s="408" t="str">
        <f t="shared" si="7"/>
        <v/>
      </c>
      <c r="E805" s="176" t="str">
        <f t="shared" si="8"/>
        <v/>
      </c>
      <c r="F805" s="408" t="str">
        <f t="shared" si="11"/>
        <v/>
      </c>
      <c r="G805" s="408" t="str">
        <f t="shared" si="12"/>
        <v/>
      </c>
      <c r="H805" s="410">
        <f>IF(K805&gt;='Pro Forma Detail'!D$66,'Pro Forma Detail'!D$67,'Debt ReFi'!$B$5)</f>
        <v>0.0275</v>
      </c>
      <c r="I805" s="1" t="str">
        <f t="shared" si="1"/>
        <v/>
      </c>
      <c r="J805" s="406">
        <f t="shared" si="13"/>
        <v>69795</v>
      </c>
      <c r="K805" s="105">
        <f t="shared" si="9"/>
        <v>71</v>
      </c>
      <c r="L805" s="411" t="str">
        <f t="shared" si="10"/>
        <v/>
      </c>
      <c r="M805" s="407" t="str">
        <f t="shared" si="2"/>
        <v/>
      </c>
      <c r="N805" s="407">
        <f t="shared" si="3"/>
        <v>0</v>
      </c>
      <c r="O805" s="407" t="str">
        <f t="shared" si="4"/>
        <v/>
      </c>
      <c r="P805" s="1"/>
    </row>
    <row r="806" ht="12.75" customHeight="1">
      <c r="A806" s="1">
        <v>795.0</v>
      </c>
      <c r="B806" s="408" t="str">
        <f t="shared" si="5"/>
        <v/>
      </c>
      <c r="C806" s="408">
        <f t="shared" si="6"/>
        <v>0</v>
      </c>
      <c r="D806" s="408" t="str">
        <f t="shared" si="7"/>
        <v/>
      </c>
      <c r="E806" s="176" t="str">
        <f t="shared" si="8"/>
        <v/>
      </c>
      <c r="F806" s="408" t="str">
        <f t="shared" si="11"/>
        <v/>
      </c>
      <c r="G806" s="408" t="str">
        <f t="shared" si="12"/>
        <v/>
      </c>
      <c r="H806" s="410">
        <f>IF(K806&gt;='Pro Forma Detail'!D$66,'Pro Forma Detail'!D$67,'Debt ReFi'!$B$5)</f>
        <v>0.0275</v>
      </c>
      <c r="I806" s="1" t="str">
        <f t="shared" si="1"/>
        <v/>
      </c>
      <c r="J806" s="406">
        <f t="shared" si="13"/>
        <v>69823</v>
      </c>
      <c r="K806" s="105">
        <f t="shared" si="9"/>
        <v>71</v>
      </c>
      <c r="L806" s="411" t="str">
        <f t="shared" si="10"/>
        <v/>
      </c>
      <c r="M806" s="407" t="str">
        <f t="shared" si="2"/>
        <v/>
      </c>
      <c r="N806" s="407">
        <f t="shared" si="3"/>
        <v>0</v>
      </c>
      <c r="O806" s="407" t="str">
        <f t="shared" si="4"/>
        <v/>
      </c>
      <c r="P806" s="1"/>
    </row>
    <row r="807" ht="12.75" customHeight="1">
      <c r="A807" s="1">
        <v>796.0</v>
      </c>
      <c r="B807" s="408" t="str">
        <f t="shared" si="5"/>
        <v/>
      </c>
      <c r="C807" s="408">
        <f t="shared" si="6"/>
        <v>0</v>
      </c>
      <c r="D807" s="408" t="str">
        <f t="shared" si="7"/>
        <v/>
      </c>
      <c r="E807" s="176" t="str">
        <f t="shared" si="8"/>
        <v/>
      </c>
      <c r="F807" s="408" t="str">
        <f t="shared" si="11"/>
        <v/>
      </c>
      <c r="G807" s="408" t="str">
        <f t="shared" si="12"/>
        <v/>
      </c>
      <c r="H807" s="410">
        <f>IF(K807&gt;='Pro Forma Detail'!D$66,'Pro Forma Detail'!D$67,'Debt ReFi'!$B$5)</f>
        <v>0.0275</v>
      </c>
      <c r="I807" s="1" t="str">
        <f t="shared" si="1"/>
        <v/>
      </c>
      <c r="J807" s="406">
        <f t="shared" si="13"/>
        <v>69854</v>
      </c>
      <c r="K807" s="105">
        <f t="shared" si="9"/>
        <v>71</v>
      </c>
      <c r="L807" s="411" t="str">
        <f t="shared" si="10"/>
        <v/>
      </c>
      <c r="M807" s="407" t="str">
        <f t="shared" si="2"/>
        <v/>
      </c>
      <c r="N807" s="407">
        <f t="shared" si="3"/>
        <v>0</v>
      </c>
      <c r="O807" s="407" t="str">
        <f t="shared" si="4"/>
        <v/>
      </c>
      <c r="P807" s="1"/>
    </row>
    <row r="808" ht="12.75" customHeight="1">
      <c r="A808" s="1">
        <v>797.0</v>
      </c>
      <c r="B808" s="408" t="str">
        <f t="shared" si="5"/>
        <v/>
      </c>
      <c r="C808" s="408">
        <f t="shared" si="6"/>
        <v>0</v>
      </c>
      <c r="D808" s="408" t="str">
        <f t="shared" si="7"/>
        <v/>
      </c>
      <c r="E808" s="176" t="str">
        <f t="shared" si="8"/>
        <v/>
      </c>
      <c r="F808" s="408" t="str">
        <f t="shared" si="11"/>
        <v/>
      </c>
      <c r="G808" s="408" t="str">
        <f t="shared" si="12"/>
        <v/>
      </c>
      <c r="H808" s="410">
        <f>IF(K808&gt;='Pro Forma Detail'!D$66,'Pro Forma Detail'!D$67,'Debt ReFi'!$B$5)</f>
        <v>0.0275</v>
      </c>
      <c r="I808" s="1" t="str">
        <f t="shared" si="1"/>
        <v/>
      </c>
      <c r="J808" s="406">
        <f t="shared" si="13"/>
        <v>69884</v>
      </c>
      <c r="K808" s="105">
        <f t="shared" si="9"/>
        <v>71</v>
      </c>
      <c r="L808" s="411" t="str">
        <f t="shared" si="10"/>
        <v/>
      </c>
      <c r="M808" s="407" t="str">
        <f t="shared" si="2"/>
        <v/>
      </c>
      <c r="N808" s="407">
        <f t="shared" si="3"/>
        <v>0</v>
      </c>
      <c r="O808" s="407" t="str">
        <f t="shared" si="4"/>
        <v/>
      </c>
      <c r="P808" s="1"/>
    </row>
    <row r="809" ht="12.75" customHeight="1">
      <c r="A809" s="1">
        <v>798.0</v>
      </c>
      <c r="B809" s="408" t="str">
        <f t="shared" si="5"/>
        <v/>
      </c>
      <c r="C809" s="408">
        <f t="shared" si="6"/>
        <v>0</v>
      </c>
      <c r="D809" s="408" t="str">
        <f t="shared" si="7"/>
        <v/>
      </c>
      <c r="E809" s="176" t="str">
        <f t="shared" si="8"/>
        <v/>
      </c>
      <c r="F809" s="408" t="str">
        <f t="shared" si="11"/>
        <v/>
      </c>
      <c r="G809" s="408" t="str">
        <f t="shared" si="12"/>
        <v/>
      </c>
      <c r="H809" s="410">
        <f>IF(K809&gt;='Pro Forma Detail'!D$66,'Pro Forma Detail'!D$67,'Debt ReFi'!$B$5)</f>
        <v>0.0275</v>
      </c>
      <c r="I809" s="1" t="str">
        <f t="shared" si="1"/>
        <v/>
      </c>
      <c r="J809" s="406">
        <f t="shared" si="13"/>
        <v>69915</v>
      </c>
      <c r="K809" s="105">
        <f t="shared" si="9"/>
        <v>71</v>
      </c>
      <c r="L809" s="411" t="str">
        <f t="shared" si="10"/>
        <v/>
      </c>
      <c r="M809" s="407" t="str">
        <f t="shared" si="2"/>
        <v/>
      </c>
      <c r="N809" s="407">
        <f t="shared" si="3"/>
        <v>0</v>
      </c>
      <c r="O809" s="407" t="str">
        <f t="shared" si="4"/>
        <v/>
      </c>
      <c r="P809" s="1"/>
    </row>
    <row r="810" ht="12.75" customHeight="1">
      <c r="A810" s="1">
        <v>799.0</v>
      </c>
      <c r="B810" s="408" t="str">
        <f t="shared" si="5"/>
        <v/>
      </c>
      <c r="C810" s="408">
        <f t="shared" si="6"/>
        <v>0</v>
      </c>
      <c r="D810" s="408" t="str">
        <f t="shared" si="7"/>
        <v/>
      </c>
      <c r="E810" s="176" t="str">
        <f t="shared" si="8"/>
        <v/>
      </c>
      <c r="F810" s="408" t="str">
        <f t="shared" si="11"/>
        <v/>
      </c>
      <c r="G810" s="408" t="str">
        <f t="shared" si="12"/>
        <v/>
      </c>
      <c r="H810" s="410">
        <f>IF(K810&gt;='Pro Forma Detail'!D$66,'Pro Forma Detail'!D$67,'Debt ReFi'!$B$5)</f>
        <v>0.0275</v>
      </c>
      <c r="I810" s="1" t="str">
        <f t="shared" si="1"/>
        <v/>
      </c>
      <c r="J810" s="406">
        <f t="shared" si="13"/>
        <v>69945</v>
      </c>
      <c r="K810" s="105">
        <f t="shared" si="9"/>
        <v>71</v>
      </c>
      <c r="L810" s="411" t="str">
        <f t="shared" si="10"/>
        <v/>
      </c>
      <c r="M810" s="407" t="str">
        <f t="shared" si="2"/>
        <v/>
      </c>
      <c r="N810" s="407">
        <f t="shared" si="3"/>
        <v>0</v>
      </c>
      <c r="O810" s="407" t="str">
        <f t="shared" si="4"/>
        <v/>
      </c>
      <c r="P810" s="1"/>
    </row>
    <row r="811" ht="12.75" customHeight="1">
      <c r="A811" s="1">
        <v>800.0</v>
      </c>
      <c r="B811" s="408" t="str">
        <f t="shared" si="5"/>
        <v/>
      </c>
      <c r="C811" s="408">
        <f t="shared" si="6"/>
        <v>0</v>
      </c>
      <c r="D811" s="408" t="str">
        <f t="shared" si="7"/>
        <v/>
      </c>
      <c r="E811" s="176" t="str">
        <f t="shared" si="8"/>
        <v/>
      </c>
      <c r="F811" s="408" t="str">
        <f t="shared" si="11"/>
        <v/>
      </c>
      <c r="G811" s="408" t="str">
        <f t="shared" si="12"/>
        <v/>
      </c>
      <c r="H811" s="410">
        <f>IF(K811&gt;='Pro Forma Detail'!D$66,'Pro Forma Detail'!D$67,'Debt ReFi'!$B$5)</f>
        <v>0.0275</v>
      </c>
      <c r="I811" s="1" t="str">
        <f t="shared" si="1"/>
        <v/>
      </c>
      <c r="J811" s="406">
        <f t="shared" si="13"/>
        <v>69976</v>
      </c>
      <c r="K811" s="105">
        <f t="shared" si="9"/>
        <v>71</v>
      </c>
      <c r="L811" s="411" t="str">
        <f t="shared" si="10"/>
        <v/>
      </c>
      <c r="M811" s="407" t="str">
        <f t="shared" si="2"/>
        <v/>
      </c>
      <c r="N811" s="407">
        <f t="shared" si="3"/>
        <v>0</v>
      </c>
      <c r="O811" s="407" t="str">
        <f t="shared" si="4"/>
        <v/>
      </c>
      <c r="P811" s="1"/>
    </row>
    <row r="812" ht="12.75" customHeight="1">
      <c r="A812" s="1">
        <v>801.0</v>
      </c>
      <c r="B812" s="408" t="str">
        <f t="shared" si="5"/>
        <v/>
      </c>
      <c r="C812" s="408">
        <f t="shared" si="6"/>
        <v>0</v>
      </c>
      <c r="D812" s="408" t="str">
        <f t="shared" si="7"/>
        <v/>
      </c>
      <c r="E812" s="176" t="str">
        <f t="shared" si="8"/>
        <v/>
      </c>
      <c r="F812" s="408" t="str">
        <f t="shared" si="11"/>
        <v/>
      </c>
      <c r="G812" s="408" t="str">
        <f t="shared" si="12"/>
        <v/>
      </c>
      <c r="H812" s="410">
        <f>IF(K812&gt;='Pro Forma Detail'!D$66,'Pro Forma Detail'!D$67,'Debt ReFi'!$B$5)</f>
        <v>0.0275</v>
      </c>
      <c r="I812" s="1" t="str">
        <f t="shared" si="1"/>
        <v/>
      </c>
      <c r="J812" s="406">
        <f t="shared" si="13"/>
        <v>70007</v>
      </c>
      <c r="K812" s="105">
        <f t="shared" si="9"/>
        <v>71</v>
      </c>
      <c r="L812" s="411" t="str">
        <f t="shared" si="10"/>
        <v/>
      </c>
      <c r="M812" s="407" t="str">
        <f t="shared" si="2"/>
        <v/>
      </c>
      <c r="N812" s="407">
        <f t="shared" si="3"/>
        <v>0</v>
      </c>
      <c r="O812" s="407" t="str">
        <f t="shared" si="4"/>
        <v/>
      </c>
      <c r="P812" s="1"/>
    </row>
    <row r="813" ht="12.75" customHeight="1">
      <c r="A813" s="1">
        <v>802.0</v>
      </c>
      <c r="B813" s="408" t="str">
        <f t="shared" si="5"/>
        <v/>
      </c>
      <c r="C813" s="408">
        <f t="shared" si="6"/>
        <v>0</v>
      </c>
      <c r="D813" s="408" t="str">
        <f t="shared" si="7"/>
        <v/>
      </c>
      <c r="E813" s="176" t="str">
        <f t="shared" si="8"/>
        <v/>
      </c>
      <c r="F813" s="408" t="str">
        <f t="shared" si="11"/>
        <v/>
      </c>
      <c r="G813" s="408" t="str">
        <f t="shared" si="12"/>
        <v/>
      </c>
      <c r="H813" s="410">
        <f>IF(K813&gt;='Pro Forma Detail'!D$66,'Pro Forma Detail'!D$67,'Debt ReFi'!$B$5)</f>
        <v>0.0275</v>
      </c>
      <c r="I813" s="1" t="str">
        <f t="shared" si="1"/>
        <v/>
      </c>
      <c r="J813" s="406">
        <f t="shared" si="13"/>
        <v>70037</v>
      </c>
      <c r="K813" s="105">
        <f t="shared" si="9"/>
        <v>71</v>
      </c>
      <c r="L813" s="411" t="str">
        <f t="shared" si="10"/>
        <v/>
      </c>
      <c r="M813" s="407" t="str">
        <f t="shared" si="2"/>
        <v/>
      </c>
      <c r="N813" s="407">
        <f t="shared" si="3"/>
        <v>0</v>
      </c>
      <c r="O813" s="407" t="str">
        <f t="shared" si="4"/>
        <v/>
      </c>
      <c r="P813" s="1"/>
    </row>
    <row r="814" ht="12.75" customHeight="1">
      <c r="A814" s="1">
        <v>803.0</v>
      </c>
      <c r="B814" s="408" t="str">
        <f t="shared" si="5"/>
        <v/>
      </c>
      <c r="C814" s="408">
        <f t="shared" si="6"/>
        <v>0</v>
      </c>
      <c r="D814" s="408" t="str">
        <f t="shared" si="7"/>
        <v/>
      </c>
      <c r="E814" s="176" t="str">
        <f t="shared" si="8"/>
        <v/>
      </c>
      <c r="F814" s="408" t="str">
        <f t="shared" si="11"/>
        <v/>
      </c>
      <c r="G814" s="408" t="str">
        <f t="shared" si="12"/>
        <v/>
      </c>
      <c r="H814" s="410">
        <f>IF(K814&gt;='Pro Forma Detail'!D$66,'Pro Forma Detail'!D$67,'Debt ReFi'!$B$5)</f>
        <v>0.0275</v>
      </c>
      <c r="I814" s="1" t="str">
        <f t="shared" si="1"/>
        <v/>
      </c>
      <c r="J814" s="406">
        <f t="shared" si="13"/>
        <v>70068</v>
      </c>
      <c r="K814" s="105">
        <f t="shared" si="9"/>
        <v>71</v>
      </c>
      <c r="L814" s="411" t="str">
        <f t="shared" si="10"/>
        <v/>
      </c>
      <c r="M814" s="407" t="str">
        <f t="shared" si="2"/>
        <v/>
      </c>
      <c r="N814" s="407">
        <f t="shared" si="3"/>
        <v>0</v>
      </c>
      <c r="O814" s="407" t="str">
        <f t="shared" si="4"/>
        <v/>
      </c>
      <c r="P814" s="1"/>
    </row>
    <row r="815" ht="12.75" customHeight="1">
      <c r="A815" s="1">
        <v>804.0</v>
      </c>
      <c r="B815" s="408" t="str">
        <f t="shared" si="5"/>
        <v/>
      </c>
      <c r="C815" s="408">
        <f t="shared" si="6"/>
        <v>0</v>
      </c>
      <c r="D815" s="408" t="str">
        <f t="shared" si="7"/>
        <v/>
      </c>
      <c r="E815" s="176" t="str">
        <f t="shared" si="8"/>
        <v/>
      </c>
      <c r="F815" s="408" t="str">
        <f t="shared" si="11"/>
        <v/>
      </c>
      <c r="G815" s="408" t="str">
        <f t="shared" si="12"/>
        <v/>
      </c>
      <c r="H815" s="410">
        <f>IF(K815&gt;='Pro Forma Detail'!D$66,'Pro Forma Detail'!D$67,'Debt ReFi'!$B$5)</f>
        <v>0.0275</v>
      </c>
      <c r="I815" s="1" t="str">
        <f t="shared" si="1"/>
        <v/>
      </c>
      <c r="J815" s="406">
        <f t="shared" si="13"/>
        <v>70098</v>
      </c>
      <c r="K815" s="105">
        <f t="shared" si="9"/>
        <v>71</v>
      </c>
      <c r="L815" s="411" t="str">
        <f t="shared" si="10"/>
        <v/>
      </c>
      <c r="M815" s="407" t="str">
        <f t="shared" si="2"/>
        <v/>
      </c>
      <c r="N815" s="407">
        <f t="shared" si="3"/>
        <v>0</v>
      </c>
      <c r="O815" s="407" t="str">
        <f t="shared" si="4"/>
        <v/>
      </c>
      <c r="P815" s="1"/>
    </row>
    <row r="816" ht="12.75" customHeight="1">
      <c r="A816" s="1">
        <v>805.0</v>
      </c>
      <c r="B816" s="408" t="str">
        <f t="shared" si="5"/>
        <v/>
      </c>
      <c r="C816" s="408">
        <f t="shared" si="6"/>
        <v>0</v>
      </c>
      <c r="D816" s="408" t="str">
        <f t="shared" si="7"/>
        <v/>
      </c>
      <c r="E816" s="176" t="str">
        <f t="shared" si="8"/>
        <v/>
      </c>
      <c r="F816" s="408" t="str">
        <f t="shared" si="11"/>
        <v/>
      </c>
      <c r="G816" s="408" t="str">
        <f t="shared" si="12"/>
        <v/>
      </c>
      <c r="H816" s="410">
        <f>IF(K816&gt;='Pro Forma Detail'!D$66,'Pro Forma Detail'!D$67,'Debt ReFi'!$B$5)</f>
        <v>0.0275</v>
      </c>
      <c r="I816" s="1" t="str">
        <f t="shared" si="1"/>
        <v/>
      </c>
      <c r="J816" s="406">
        <f t="shared" si="13"/>
        <v>70129</v>
      </c>
      <c r="K816" s="105">
        <f t="shared" si="9"/>
        <v>72</v>
      </c>
      <c r="L816" s="411" t="str">
        <f t="shared" si="10"/>
        <v/>
      </c>
      <c r="M816" s="407" t="str">
        <f t="shared" si="2"/>
        <v/>
      </c>
      <c r="N816" s="407">
        <f t="shared" si="3"/>
        <v>0</v>
      </c>
      <c r="O816" s="407" t="str">
        <f t="shared" si="4"/>
        <v/>
      </c>
      <c r="P816" s="1"/>
    </row>
    <row r="817" ht="12.75" customHeight="1">
      <c r="A817" s="1">
        <v>806.0</v>
      </c>
      <c r="B817" s="408" t="str">
        <f t="shared" si="5"/>
        <v/>
      </c>
      <c r="C817" s="408">
        <f t="shared" si="6"/>
        <v>0</v>
      </c>
      <c r="D817" s="408" t="str">
        <f t="shared" si="7"/>
        <v/>
      </c>
      <c r="E817" s="176" t="str">
        <f t="shared" si="8"/>
        <v/>
      </c>
      <c r="F817" s="408" t="str">
        <f t="shared" si="11"/>
        <v/>
      </c>
      <c r="G817" s="408" t="str">
        <f t="shared" si="12"/>
        <v/>
      </c>
      <c r="H817" s="410">
        <f>IF(K817&gt;='Pro Forma Detail'!D$66,'Pro Forma Detail'!D$67,'Debt ReFi'!$B$5)</f>
        <v>0.0275</v>
      </c>
      <c r="I817" s="1" t="str">
        <f t="shared" si="1"/>
        <v/>
      </c>
      <c r="J817" s="406">
        <f t="shared" si="13"/>
        <v>70160</v>
      </c>
      <c r="K817" s="105">
        <f t="shared" si="9"/>
        <v>72</v>
      </c>
      <c r="L817" s="411" t="str">
        <f t="shared" si="10"/>
        <v/>
      </c>
      <c r="M817" s="407" t="str">
        <f t="shared" si="2"/>
        <v/>
      </c>
      <c r="N817" s="407">
        <f t="shared" si="3"/>
        <v>0</v>
      </c>
      <c r="O817" s="407" t="str">
        <f t="shared" si="4"/>
        <v/>
      </c>
      <c r="P817" s="1"/>
    </row>
    <row r="818" ht="12.75" customHeight="1">
      <c r="A818" s="1">
        <v>807.0</v>
      </c>
      <c r="B818" s="408" t="str">
        <f t="shared" si="5"/>
        <v/>
      </c>
      <c r="C818" s="408">
        <f t="shared" si="6"/>
        <v>0</v>
      </c>
      <c r="D818" s="408" t="str">
        <f t="shared" si="7"/>
        <v/>
      </c>
      <c r="E818" s="176" t="str">
        <f t="shared" si="8"/>
        <v/>
      </c>
      <c r="F818" s="408" t="str">
        <f t="shared" si="11"/>
        <v/>
      </c>
      <c r="G818" s="408" t="str">
        <f t="shared" si="12"/>
        <v/>
      </c>
      <c r="H818" s="410">
        <f>IF(K818&gt;='Pro Forma Detail'!D$66,'Pro Forma Detail'!D$67,'Debt ReFi'!$B$5)</f>
        <v>0.0275</v>
      </c>
      <c r="I818" s="1" t="str">
        <f t="shared" si="1"/>
        <v/>
      </c>
      <c r="J818" s="406">
        <f t="shared" si="13"/>
        <v>70189</v>
      </c>
      <c r="K818" s="105">
        <f t="shared" si="9"/>
        <v>72</v>
      </c>
      <c r="L818" s="411" t="str">
        <f t="shared" si="10"/>
        <v/>
      </c>
      <c r="M818" s="407" t="str">
        <f t="shared" si="2"/>
        <v/>
      </c>
      <c r="N818" s="407">
        <f t="shared" si="3"/>
        <v>0</v>
      </c>
      <c r="O818" s="407" t="str">
        <f t="shared" si="4"/>
        <v/>
      </c>
      <c r="P818" s="1"/>
    </row>
    <row r="819" ht="12.75" customHeight="1">
      <c r="A819" s="1">
        <v>808.0</v>
      </c>
      <c r="B819" s="408" t="str">
        <f t="shared" si="5"/>
        <v/>
      </c>
      <c r="C819" s="408">
        <f t="shared" si="6"/>
        <v>0</v>
      </c>
      <c r="D819" s="408" t="str">
        <f t="shared" si="7"/>
        <v/>
      </c>
      <c r="E819" s="176" t="str">
        <f t="shared" si="8"/>
        <v/>
      </c>
      <c r="F819" s="408" t="str">
        <f t="shared" si="11"/>
        <v/>
      </c>
      <c r="G819" s="408" t="str">
        <f t="shared" si="12"/>
        <v/>
      </c>
      <c r="H819" s="410">
        <f>IF(K819&gt;='Pro Forma Detail'!D$66,'Pro Forma Detail'!D$67,'Debt ReFi'!$B$5)</f>
        <v>0.0275</v>
      </c>
      <c r="I819" s="1" t="str">
        <f t="shared" si="1"/>
        <v/>
      </c>
      <c r="J819" s="406">
        <f t="shared" si="13"/>
        <v>70220</v>
      </c>
      <c r="K819" s="105">
        <f t="shared" si="9"/>
        <v>72</v>
      </c>
      <c r="L819" s="411" t="str">
        <f t="shared" si="10"/>
        <v/>
      </c>
      <c r="M819" s="407" t="str">
        <f t="shared" si="2"/>
        <v/>
      </c>
      <c r="N819" s="407">
        <f t="shared" si="3"/>
        <v>0</v>
      </c>
      <c r="O819" s="407" t="str">
        <f t="shared" si="4"/>
        <v/>
      </c>
      <c r="P819" s="1"/>
    </row>
    <row r="820" ht="12.75" customHeight="1">
      <c r="A820" s="1">
        <v>809.0</v>
      </c>
      <c r="B820" s="408" t="str">
        <f t="shared" si="5"/>
        <v/>
      </c>
      <c r="C820" s="408">
        <f t="shared" si="6"/>
        <v>0</v>
      </c>
      <c r="D820" s="408" t="str">
        <f t="shared" si="7"/>
        <v/>
      </c>
      <c r="E820" s="176" t="str">
        <f t="shared" si="8"/>
        <v/>
      </c>
      <c r="F820" s="408" t="str">
        <f t="shared" si="11"/>
        <v/>
      </c>
      <c r="G820" s="408" t="str">
        <f t="shared" si="12"/>
        <v/>
      </c>
      <c r="H820" s="410">
        <f>IF(K820&gt;='Pro Forma Detail'!D$66,'Pro Forma Detail'!D$67,'Debt ReFi'!$B$5)</f>
        <v>0.0275</v>
      </c>
      <c r="I820" s="1" t="str">
        <f t="shared" si="1"/>
        <v/>
      </c>
      <c r="J820" s="406">
        <f t="shared" si="13"/>
        <v>70250</v>
      </c>
      <c r="K820" s="105">
        <f t="shared" si="9"/>
        <v>72</v>
      </c>
      <c r="L820" s="411" t="str">
        <f t="shared" si="10"/>
        <v/>
      </c>
      <c r="M820" s="407" t="str">
        <f t="shared" si="2"/>
        <v/>
      </c>
      <c r="N820" s="407">
        <f t="shared" si="3"/>
        <v>0</v>
      </c>
      <c r="O820" s="407" t="str">
        <f t="shared" si="4"/>
        <v/>
      </c>
      <c r="P820" s="1"/>
    </row>
    <row r="821" ht="12.75" customHeight="1">
      <c r="A821" s="1">
        <v>810.0</v>
      </c>
      <c r="B821" s="408" t="str">
        <f t="shared" si="5"/>
        <v/>
      </c>
      <c r="C821" s="408">
        <f t="shared" si="6"/>
        <v>0</v>
      </c>
      <c r="D821" s="408" t="str">
        <f t="shared" si="7"/>
        <v/>
      </c>
      <c r="E821" s="176" t="str">
        <f t="shared" si="8"/>
        <v/>
      </c>
      <c r="F821" s="408" t="str">
        <f t="shared" si="11"/>
        <v/>
      </c>
      <c r="G821" s="408" t="str">
        <f t="shared" si="12"/>
        <v/>
      </c>
      <c r="H821" s="410">
        <f>IF(K821&gt;='Pro Forma Detail'!D$66,'Pro Forma Detail'!D$67,'Debt ReFi'!$B$5)</f>
        <v>0.0275</v>
      </c>
      <c r="I821" s="1" t="str">
        <f t="shared" si="1"/>
        <v/>
      </c>
      <c r="J821" s="406">
        <f t="shared" si="13"/>
        <v>70281</v>
      </c>
      <c r="K821" s="105">
        <f t="shared" si="9"/>
        <v>72</v>
      </c>
      <c r="L821" s="411" t="str">
        <f t="shared" si="10"/>
        <v/>
      </c>
      <c r="M821" s="407" t="str">
        <f t="shared" si="2"/>
        <v/>
      </c>
      <c r="N821" s="407">
        <f t="shared" si="3"/>
        <v>0</v>
      </c>
      <c r="O821" s="407" t="str">
        <f t="shared" si="4"/>
        <v/>
      </c>
      <c r="P821" s="1"/>
    </row>
    <row r="822" ht="12.75" customHeight="1">
      <c r="A822" s="1">
        <v>811.0</v>
      </c>
      <c r="B822" s="408" t="str">
        <f t="shared" si="5"/>
        <v/>
      </c>
      <c r="C822" s="408">
        <f t="shared" si="6"/>
        <v>0</v>
      </c>
      <c r="D822" s="408" t="str">
        <f t="shared" si="7"/>
        <v/>
      </c>
      <c r="E822" s="176" t="str">
        <f t="shared" si="8"/>
        <v/>
      </c>
      <c r="F822" s="408" t="str">
        <f t="shared" si="11"/>
        <v/>
      </c>
      <c r="G822" s="408" t="str">
        <f t="shared" si="12"/>
        <v/>
      </c>
      <c r="H822" s="410">
        <f>IF(K822&gt;='Pro Forma Detail'!D$66,'Pro Forma Detail'!D$67,'Debt ReFi'!$B$5)</f>
        <v>0.0275</v>
      </c>
      <c r="I822" s="1" t="str">
        <f t="shared" si="1"/>
        <v/>
      </c>
      <c r="J822" s="406">
        <f t="shared" si="13"/>
        <v>70311</v>
      </c>
      <c r="K822" s="105">
        <f t="shared" si="9"/>
        <v>72</v>
      </c>
      <c r="L822" s="411" t="str">
        <f t="shared" si="10"/>
        <v/>
      </c>
      <c r="M822" s="407" t="str">
        <f t="shared" si="2"/>
        <v/>
      </c>
      <c r="N822" s="407">
        <f t="shared" si="3"/>
        <v>0</v>
      </c>
      <c r="O822" s="407" t="str">
        <f t="shared" si="4"/>
        <v/>
      </c>
      <c r="P822" s="1"/>
    </row>
    <row r="823" ht="12.75" customHeight="1">
      <c r="A823" s="1">
        <v>812.0</v>
      </c>
      <c r="B823" s="408" t="str">
        <f t="shared" si="5"/>
        <v/>
      </c>
      <c r="C823" s="408">
        <f t="shared" si="6"/>
        <v>0</v>
      </c>
      <c r="D823" s="408" t="str">
        <f t="shared" si="7"/>
        <v/>
      </c>
      <c r="E823" s="176" t="str">
        <f t="shared" si="8"/>
        <v/>
      </c>
      <c r="F823" s="408" t="str">
        <f t="shared" si="11"/>
        <v/>
      </c>
      <c r="G823" s="408" t="str">
        <f t="shared" si="12"/>
        <v/>
      </c>
      <c r="H823" s="410">
        <f>IF(K823&gt;='Pro Forma Detail'!D$66,'Pro Forma Detail'!D$67,'Debt ReFi'!$B$5)</f>
        <v>0.0275</v>
      </c>
      <c r="I823" s="1" t="str">
        <f t="shared" si="1"/>
        <v/>
      </c>
      <c r="J823" s="406">
        <f t="shared" si="13"/>
        <v>70342</v>
      </c>
      <c r="K823" s="105">
        <f t="shared" si="9"/>
        <v>72</v>
      </c>
      <c r="L823" s="411" t="str">
        <f t="shared" si="10"/>
        <v/>
      </c>
      <c r="M823" s="407" t="str">
        <f t="shared" si="2"/>
        <v/>
      </c>
      <c r="N823" s="407">
        <f t="shared" si="3"/>
        <v>0</v>
      </c>
      <c r="O823" s="407" t="str">
        <f t="shared" si="4"/>
        <v/>
      </c>
      <c r="P823" s="1"/>
    </row>
    <row r="824" ht="12.75" customHeight="1">
      <c r="A824" s="1">
        <v>813.0</v>
      </c>
      <c r="B824" s="408" t="str">
        <f t="shared" si="5"/>
        <v/>
      </c>
      <c r="C824" s="408">
        <f t="shared" si="6"/>
        <v>0</v>
      </c>
      <c r="D824" s="408" t="str">
        <f t="shared" si="7"/>
        <v/>
      </c>
      <c r="E824" s="176" t="str">
        <f t="shared" si="8"/>
        <v/>
      </c>
      <c r="F824" s="408" t="str">
        <f t="shared" si="11"/>
        <v/>
      </c>
      <c r="G824" s="408" t="str">
        <f t="shared" si="12"/>
        <v/>
      </c>
      <c r="H824" s="410">
        <f>IF(K824&gt;='Pro Forma Detail'!D$66,'Pro Forma Detail'!D$67,'Debt ReFi'!$B$5)</f>
        <v>0.0275</v>
      </c>
      <c r="I824" s="1" t="str">
        <f t="shared" si="1"/>
        <v/>
      </c>
      <c r="J824" s="406">
        <f t="shared" si="13"/>
        <v>70373</v>
      </c>
      <c r="K824" s="105">
        <f t="shared" si="9"/>
        <v>72</v>
      </c>
      <c r="L824" s="411" t="str">
        <f t="shared" si="10"/>
        <v/>
      </c>
      <c r="M824" s="407" t="str">
        <f t="shared" si="2"/>
        <v/>
      </c>
      <c r="N824" s="407">
        <f t="shared" si="3"/>
        <v>0</v>
      </c>
      <c r="O824" s="407" t="str">
        <f t="shared" si="4"/>
        <v/>
      </c>
      <c r="P824" s="1"/>
    </row>
    <row r="825" ht="12.75" customHeight="1">
      <c r="A825" s="1">
        <v>814.0</v>
      </c>
      <c r="B825" s="408" t="str">
        <f t="shared" si="5"/>
        <v/>
      </c>
      <c r="C825" s="408">
        <f t="shared" si="6"/>
        <v>0</v>
      </c>
      <c r="D825" s="408" t="str">
        <f t="shared" si="7"/>
        <v/>
      </c>
      <c r="E825" s="176" t="str">
        <f t="shared" si="8"/>
        <v/>
      </c>
      <c r="F825" s="408" t="str">
        <f t="shared" si="11"/>
        <v/>
      </c>
      <c r="G825" s="408" t="str">
        <f t="shared" si="12"/>
        <v/>
      </c>
      <c r="H825" s="410">
        <f>IF(K825&gt;='Pro Forma Detail'!D$66,'Pro Forma Detail'!D$67,'Debt ReFi'!$B$5)</f>
        <v>0.0275</v>
      </c>
      <c r="I825" s="1" t="str">
        <f t="shared" si="1"/>
        <v/>
      </c>
      <c r="J825" s="406">
        <f t="shared" si="13"/>
        <v>70403</v>
      </c>
      <c r="K825" s="105">
        <f t="shared" si="9"/>
        <v>72</v>
      </c>
      <c r="L825" s="411" t="str">
        <f t="shared" si="10"/>
        <v/>
      </c>
      <c r="M825" s="407" t="str">
        <f t="shared" si="2"/>
        <v/>
      </c>
      <c r="N825" s="407">
        <f t="shared" si="3"/>
        <v>0</v>
      </c>
      <c r="O825" s="407" t="str">
        <f t="shared" si="4"/>
        <v/>
      </c>
      <c r="P825" s="1"/>
    </row>
    <row r="826" ht="12.75" customHeight="1">
      <c r="A826" s="1">
        <v>815.0</v>
      </c>
      <c r="B826" s="408" t="str">
        <f t="shared" si="5"/>
        <v/>
      </c>
      <c r="C826" s="408">
        <f t="shared" si="6"/>
        <v>0</v>
      </c>
      <c r="D826" s="408" t="str">
        <f t="shared" si="7"/>
        <v/>
      </c>
      <c r="E826" s="176" t="str">
        <f t="shared" si="8"/>
        <v/>
      </c>
      <c r="F826" s="408" t="str">
        <f t="shared" si="11"/>
        <v/>
      </c>
      <c r="G826" s="408" t="str">
        <f t="shared" si="12"/>
        <v/>
      </c>
      <c r="H826" s="410">
        <f>IF(K826&gt;='Pro Forma Detail'!D$66,'Pro Forma Detail'!D$67,'Debt ReFi'!$B$5)</f>
        <v>0.0275</v>
      </c>
      <c r="I826" s="1" t="str">
        <f t="shared" si="1"/>
        <v/>
      </c>
      <c r="J826" s="406">
        <f t="shared" si="13"/>
        <v>70434</v>
      </c>
      <c r="K826" s="105">
        <f t="shared" si="9"/>
        <v>72</v>
      </c>
      <c r="L826" s="411" t="str">
        <f t="shared" si="10"/>
        <v/>
      </c>
      <c r="M826" s="407" t="str">
        <f t="shared" si="2"/>
        <v/>
      </c>
      <c r="N826" s="407">
        <f t="shared" si="3"/>
        <v>0</v>
      </c>
      <c r="O826" s="407" t="str">
        <f t="shared" si="4"/>
        <v/>
      </c>
      <c r="P826" s="1"/>
    </row>
    <row r="827" ht="12.75" customHeight="1">
      <c r="A827" s="1">
        <v>816.0</v>
      </c>
      <c r="B827" s="408" t="str">
        <f t="shared" si="5"/>
        <v/>
      </c>
      <c r="C827" s="408">
        <f t="shared" si="6"/>
        <v>0</v>
      </c>
      <c r="D827" s="408" t="str">
        <f t="shared" si="7"/>
        <v/>
      </c>
      <c r="E827" s="176" t="str">
        <f t="shared" si="8"/>
        <v/>
      </c>
      <c r="F827" s="408" t="str">
        <f t="shared" si="11"/>
        <v/>
      </c>
      <c r="G827" s="408" t="str">
        <f t="shared" si="12"/>
        <v/>
      </c>
      <c r="H827" s="410">
        <f>IF(K827&gt;='Pro Forma Detail'!D$66,'Pro Forma Detail'!D$67,'Debt ReFi'!$B$5)</f>
        <v>0.0275</v>
      </c>
      <c r="I827" s="1" t="str">
        <f t="shared" si="1"/>
        <v/>
      </c>
      <c r="J827" s="406">
        <f t="shared" si="13"/>
        <v>70464</v>
      </c>
      <c r="K827" s="105">
        <f t="shared" si="9"/>
        <v>72</v>
      </c>
      <c r="L827" s="411" t="str">
        <f t="shared" si="10"/>
        <v/>
      </c>
      <c r="M827" s="407" t="str">
        <f t="shared" si="2"/>
        <v/>
      </c>
      <c r="N827" s="407">
        <f t="shared" si="3"/>
        <v>0</v>
      </c>
      <c r="O827" s="407" t="str">
        <f t="shared" si="4"/>
        <v/>
      </c>
      <c r="P827" s="1"/>
    </row>
    <row r="828" ht="12.75" customHeight="1">
      <c r="A828" s="1">
        <v>817.0</v>
      </c>
      <c r="B828" s="408" t="str">
        <f t="shared" si="5"/>
        <v/>
      </c>
      <c r="C828" s="408">
        <f t="shared" si="6"/>
        <v>0</v>
      </c>
      <c r="D828" s="408" t="str">
        <f t="shared" si="7"/>
        <v/>
      </c>
      <c r="E828" s="176" t="str">
        <f t="shared" si="8"/>
        <v/>
      </c>
      <c r="F828" s="408" t="str">
        <f t="shared" si="11"/>
        <v/>
      </c>
      <c r="G828" s="408" t="str">
        <f t="shared" si="12"/>
        <v/>
      </c>
      <c r="H828" s="410">
        <f>IF(K828&gt;='Pro Forma Detail'!D$66,'Pro Forma Detail'!D$67,'Debt ReFi'!$B$5)</f>
        <v>0.0275</v>
      </c>
      <c r="I828" s="1" t="str">
        <f t="shared" si="1"/>
        <v/>
      </c>
      <c r="J828" s="406">
        <f t="shared" si="13"/>
        <v>70495</v>
      </c>
      <c r="K828" s="105">
        <f t="shared" si="9"/>
        <v>73</v>
      </c>
      <c r="L828" s="411" t="str">
        <f t="shared" si="10"/>
        <v/>
      </c>
      <c r="M828" s="407" t="str">
        <f t="shared" si="2"/>
        <v/>
      </c>
      <c r="N828" s="407">
        <f t="shared" si="3"/>
        <v>0</v>
      </c>
      <c r="O828" s="407" t="str">
        <f t="shared" si="4"/>
        <v/>
      </c>
      <c r="P828" s="1"/>
    </row>
    <row r="829" ht="12.75" customHeight="1">
      <c r="A829" s="1">
        <v>818.0</v>
      </c>
      <c r="B829" s="408" t="str">
        <f t="shared" si="5"/>
        <v/>
      </c>
      <c r="C829" s="408">
        <f t="shared" si="6"/>
        <v>0</v>
      </c>
      <c r="D829" s="408" t="str">
        <f t="shared" si="7"/>
        <v/>
      </c>
      <c r="E829" s="176" t="str">
        <f t="shared" si="8"/>
        <v/>
      </c>
      <c r="F829" s="408" t="str">
        <f t="shared" si="11"/>
        <v/>
      </c>
      <c r="G829" s="408" t="str">
        <f t="shared" si="12"/>
        <v/>
      </c>
      <c r="H829" s="410">
        <f>IF(K829&gt;='Pro Forma Detail'!D$66,'Pro Forma Detail'!D$67,'Debt ReFi'!$B$5)</f>
        <v>0.0275</v>
      </c>
      <c r="I829" s="1" t="str">
        <f t="shared" si="1"/>
        <v/>
      </c>
      <c r="J829" s="406">
        <f t="shared" si="13"/>
        <v>70526</v>
      </c>
      <c r="K829" s="105">
        <f t="shared" si="9"/>
        <v>73</v>
      </c>
      <c r="L829" s="411" t="str">
        <f t="shared" si="10"/>
        <v/>
      </c>
      <c r="M829" s="407" t="str">
        <f t="shared" si="2"/>
        <v/>
      </c>
      <c r="N829" s="407">
        <f t="shared" si="3"/>
        <v>0</v>
      </c>
      <c r="O829" s="407" t="str">
        <f t="shared" si="4"/>
        <v/>
      </c>
      <c r="P829" s="1"/>
    </row>
    <row r="830" ht="12.75" customHeight="1">
      <c r="A830" s="1">
        <v>819.0</v>
      </c>
      <c r="B830" s="408" t="str">
        <f t="shared" si="5"/>
        <v/>
      </c>
      <c r="C830" s="408">
        <f t="shared" si="6"/>
        <v>0</v>
      </c>
      <c r="D830" s="408" t="str">
        <f t="shared" si="7"/>
        <v/>
      </c>
      <c r="E830" s="176" t="str">
        <f t="shared" si="8"/>
        <v/>
      </c>
      <c r="F830" s="408" t="str">
        <f t="shared" si="11"/>
        <v/>
      </c>
      <c r="G830" s="408" t="str">
        <f t="shared" si="12"/>
        <v/>
      </c>
      <c r="H830" s="410">
        <f>IF(K830&gt;='Pro Forma Detail'!D$66,'Pro Forma Detail'!D$67,'Debt ReFi'!$B$5)</f>
        <v>0.0275</v>
      </c>
      <c r="I830" s="1" t="str">
        <f t="shared" si="1"/>
        <v/>
      </c>
      <c r="J830" s="406">
        <f t="shared" si="13"/>
        <v>70554</v>
      </c>
      <c r="K830" s="105">
        <f t="shared" si="9"/>
        <v>73</v>
      </c>
      <c r="L830" s="411" t="str">
        <f t="shared" si="10"/>
        <v/>
      </c>
      <c r="M830" s="407" t="str">
        <f t="shared" si="2"/>
        <v/>
      </c>
      <c r="N830" s="407">
        <f t="shared" si="3"/>
        <v>0</v>
      </c>
      <c r="O830" s="407" t="str">
        <f t="shared" si="4"/>
        <v/>
      </c>
      <c r="P830" s="1"/>
    </row>
    <row r="831" ht="12.75" customHeight="1">
      <c r="A831" s="1">
        <v>820.0</v>
      </c>
      <c r="B831" s="408" t="str">
        <f t="shared" si="5"/>
        <v/>
      </c>
      <c r="C831" s="408">
        <f t="shared" si="6"/>
        <v>0</v>
      </c>
      <c r="D831" s="408" t="str">
        <f t="shared" si="7"/>
        <v/>
      </c>
      <c r="E831" s="176" t="str">
        <f t="shared" si="8"/>
        <v/>
      </c>
      <c r="F831" s="408" t="str">
        <f t="shared" si="11"/>
        <v/>
      </c>
      <c r="G831" s="408" t="str">
        <f t="shared" si="12"/>
        <v/>
      </c>
      <c r="H831" s="410">
        <f>IF(K831&gt;='Pro Forma Detail'!D$66,'Pro Forma Detail'!D$67,'Debt ReFi'!$B$5)</f>
        <v>0.0275</v>
      </c>
      <c r="I831" s="1" t="str">
        <f t="shared" si="1"/>
        <v/>
      </c>
      <c r="J831" s="406">
        <f t="shared" si="13"/>
        <v>70585</v>
      </c>
      <c r="K831" s="105">
        <f t="shared" si="9"/>
        <v>73</v>
      </c>
      <c r="L831" s="411" t="str">
        <f t="shared" si="10"/>
        <v/>
      </c>
      <c r="M831" s="407" t="str">
        <f t="shared" si="2"/>
        <v/>
      </c>
      <c r="N831" s="407">
        <f t="shared" si="3"/>
        <v>0</v>
      </c>
      <c r="O831" s="407" t="str">
        <f t="shared" si="4"/>
        <v/>
      </c>
      <c r="P831" s="1"/>
    </row>
    <row r="832" ht="12.75" customHeight="1">
      <c r="A832" s="1">
        <v>821.0</v>
      </c>
      <c r="B832" s="408" t="str">
        <f t="shared" si="5"/>
        <v/>
      </c>
      <c r="C832" s="408">
        <f t="shared" si="6"/>
        <v>0</v>
      </c>
      <c r="D832" s="408" t="str">
        <f t="shared" si="7"/>
        <v/>
      </c>
      <c r="E832" s="176" t="str">
        <f t="shared" si="8"/>
        <v/>
      </c>
      <c r="F832" s="408" t="str">
        <f t="shared" si="11"/>
        <v/>
      </c>
      <c r="G832" s="408" t="str">
        <f t="shared" si="12"/>
        <v/>
      </c>
      <c r="H832" s="410">
        <f>IF(K832&gt;='Pro Forma Detail'!D$66,'Pro Forma Detail'!D$67,'Debt ReFi'!$B$5)</f>
        <v>0.0275</v>
      </c>
      <c r="I832" s="1" t="str">
        <f t="shared" si="1"/>
        <v/>
      </c>
      <c r="J832" s="406">
        <f t="shared" si="13"/>
        <v>70615</v>
      </c>
      <c r="K832" s="105">
        <f t="shared" si="9"/>
        <v>73</v>
      </c>
      <c r="L832" s="411" t="str">
        <f t="shared" si="10"/>
        <v/>
      </c>
      <c r="M832" s="407" t="str">
        <f t="shared" si="2"/>
        <v/>
      </c>
      <c r="N832" s="407">
        <f t="shared" si="3"/>
        <v>0</v>
      </c>
      <c r="O832" s="407" t="str">
        <f t="shared" si="4"/>
        <v/>
      </c>
      <c r="P832" s="1"/>
    </row>
    <row r="833" ht="12.75" customHeight="1">
      <c r="A833" s="1">
        <v>822.0</v>
      </c>
      <c r="B833" s="408" t="str">
        <f t="shared" si="5"/>
        <v/>
      </c>
      <c r="C833" s="408">
        <f t="shared" si="6"/>
        <v>0</v>
      </c>
      <c r="D833" s="408" t="str">
        <f t="shared" si="7"/>
        <v/>
      </c>
      <c r="E833" s="176" t="str">
        <f t="shared" si="8"/>
        <v/>
      </c>
      <c r="F833" s="408" t="str">
        <f t="shared" si="11"/>
        <v/>
      </c>
      <c r="G833" s="408" t="str">
        <f t="shared" si="12"/>
        <v/>
      </c>
      <c r="H833" s="410">
        <f>IF(K833&gt;='Pro Forma Detail'!D$66,'Pro Forma Detail'!D$67,'Debt ReFi'!$B$5)</f>
        <v>0.0275</v>
      </c>
      <c r="I833" s="1" t="str">
        <f t="shared" si="1"/>
        <v/>
      </c>
      <c r="J833" s="406">
        <f t="shared" si="13"/>
        <v>70646</v>
      </c>
      <c r="K833" s="105">
        <f t="shared" si="9"/>
        <v>73</v>
      </c>
      <c r="L833" s="411" t="str">
        <f t="shared" si="10"/>
        <v/>
      </c>
      <c r="M833" s="407" t="str">
        <f t="shared" si="2"/>
        <v/>
      </c>
      <c r="N833" s="407">
        <f t="shared" si="3"/>
        <v>0</v>
      </c>
      <c r="O833" s="407" t="str">
        <f t="shared" si="4"/>
        <v/>
      </c>
      <c r="P833" s="1"/>
    </row>
    <row r="834" ht="12.75" customHeight="1">
      <c r="A834" s="1">
        <v>823.0</v>
      </c>
      <c r="B834" s="408" t="str">
        <f t="shared" si="5"/>
        <v/>
      </c>
      <c r="C834" s="408">
        <f t="shared" si="6"/>
        <v>0</v>
      </c>
      <c r="D834" s="408" t="str">
        <f t="shared" si="7"/>
        <v/>
      </c>
      <c r="E834" s="176" t="str">
        <f t="shared" si="8"/>
        <v/>
      </c>
      <c r="F834" s="408" t="str">
        <f t="shared" si="11"/>
        <v/>
      </c>
      <c r="G834" s="408" t="str">
        <f t="shared" si="12"/>
        <v/>
      </c>
      <c r="H834" s="410">
        <f>IF(K834&gt;='Pro Forma Detail'!D$66,'Pro Forma Detail'!D$67,'Debt ReFi'!$B$5)</f>
        <v>0.0275</v>
      </c>
      <c r="I834" s="1" t="str">
        <f t="shared" si="1"/>
        <v/>
      </c>
      <c r="J834" s="406">
        <f t="shared" si="13"/>
        <v>70676</v>
      </c>
      <c r="K834" s="105">
        <f t="shared" si="9"/>
        <v>73</v>
      </c>
      <c r="L834" s="411" t="str">
        <f t="shared" si="10"/>
        <v/>
      </c>
      <c r="M834" s="407" t="str">
        <f t="shared" si="2"/>
        <v/>
      </c>
      <c r="N834" s="407">
        <f t="shared" si="3"/>
        <v>0</v>
      </c>
      <c r="O834" s="407" t="str">
        <f t="shared" si="4"/>
        <v/>
      </c>
      <c r="P834" s="1"/>
    </row>
    <row r="835" ht="12.75" customHeight="1">
      <c r="A835" s="1">
        <v>824.0</v>
      </c>
      <c r="B835" s="408" t="str">
        <f t="shared" si="5"/>
        <v/>
      </c>
      <c r="C835" s="408">
        <f t="shared" si="6"/>
        <v>0</v>
      </c>
      <c r="D835" s="408" t="str">
        <f t="shared" si="7"/>
        <v/>
      </c>
      <c r="E835" s="176" t="str">
        <f t="shared" si="8"/>
        <v/>
      </c>
      <c r="F835" s="408" t="str">
        <f t="shared" si="11"/>
        <v/>
      </c>
      <c r="G835" s="408" t="str">
        <f t="shared" si="12"/>
        <v/>
      </c>
      <c r="H835" s="410">
        <f>IF(K835&gt;='Pro Forma Detail'!D$66,'Pro Forma Detail'!D$67,'Debt ReFi'!$B$5)</f>
        <v>0.0275</v>
      </c>
      <c r="I835" s="1" t="str">
        <f t="shared" si="1"/>
        <v/>
      </c>
      <c r="J835" s="406">
        <f t="shared" si="13"/>
        <v>70707</v>
      </c>
      <c r="K835" s="105">
        <f t="shared" si="9"/>
        <v>73</v>
      </c>
      <c r="L835" s="411" t="str">
        <f t="shared" si="10"/>
        <v/>
      </c>
      <c r="M835" s="407" t="str">
        <f t="shared" si="2"/>
        <v/>
      </c>
      <c r="N835" s="407">
        <f t="shared" si="3"/>
        <v>0</v>
      </c>
      <c r="O835" s="407" t="str">
        <f t="shared" si="4"/>
        <v/>
      </c>
      <c r="P835" s="1"/>
    </row>
    <row r="836" ht="12.75" customHeight="1">
      <c r="A836" s="1">
        <v>825.0</v>
      </c>
      <c r="B836" s="408" t="str">
        <f t="shared" si="5"/>
        <v/>
      </c>
      <c r="C836" s="408">
        <f t="shared" si="6"/>
        <v>0</v>
      </c>
      <c r="D836" s="408" t="str">
        <f t="shared" si="7"/>
        <v/>
      </c>
      <c r="E836" s="176" t="str">
        <f t="shared" si="8"/>
        <v/>
      </c>
      <c r="F836" s="408" t="str">
        <f t="shared" si="11"/>
        <v/>
      </c>
      <c r="G836" s="408" t="str">
        <f t="shared" si="12"/>
        <v/>
      </c>
      <c r="H836" s="410">
        <f>IF(K836&gt;='Pro Forma Detail'!D$66,'Pro Forma Detail'!D$67,'Debt ReFi'!$B$5)</f>
        <v>0.0275</v>
      </c>
      <c r="I836" s="1" t="str">
        <f t="shared" si="1"/>
        <v/>
      </c>
      <c r="J836" s="406">
        <f t="shared" si="13"/>
        <v>70738</v>
      </c>
      <c r="K836" s="105">
        <f t="shared" si="9"/>
        <v>73</v>
      </c>
      <c r="L836" s="411" t="str">
        <f t="shared" si="10"/>
        <v/>
      </c>
      <c r="M836" s="407" t="str">
        <f t="shared" si="2"/>
        <v/>
      </c>
      <c r="N836" s="407">
        <f t="shared" si="3"/>
        <v>0</v>
      </c>
      <c r="O836" s="407" t="str">
        <f t="shared" si="4"/>
        <v/>
      </c>
      <c r="P836" s="1"/>
    </row>
    <row r="837" ht="12.75" customHeight="1">
      <c r="A837" s="1">
        <v>826.0</v>
      </c>
      <c r="B837" s="408" t="str">
        <f t="shared" si="5"/>
        <v/>
      </c>
      <c r="C837" s="408">
        <f t="shared" si="6"/>
        <v>0</v>
      </c>
      <c r="D837" s="408" t="str">
        <f t="shared" si="7"/>
        <v/>
      </c>
      <c r="E837" s="176" t="str">
        <f t="shared" si="8"/>
        <v/>
      </c>
      <c r="F837" s="408" t="str">
        <f t="shared" si="11"/>
        <v/>
      </c>
      <c r="G837" s="408" t="str">
        <f t="shared" si="12"/>
        <v/>
      </c>
      <c r="H837" s="410">
        <f>IF(K837&gt;='Pro Forma Detail'!D$66,'Pro Forma Detail'!D$67,'Debt ReFi'!$B$5)</f>
        <v>0.0275</v>
      </c>
      <c r="I837" s="1" t="str">
        <f t="shared" si="1"/>
        <v/>
      </c>
      <c r="J837" s="406">
        <f t="shared" si="13"/>
        <v>70768</v>
      </c>
      <c r="K837" s="105">
        <f t="shared" si="9"/>
        <v>73</v>
      </c>
      <c r="L837" s="411" t="str">
        <f t="shared" si="10"/>
        <v/>
      </c>
      <c r="M837" s="407" t="str">
        <f t="shared" si="2"/>
        <v/>
      </c>
      <c r="N837" s="407">
        <f t="shared" si="3"/>
        <v>0</v>
      </c>
      <c r="O837" s="407" t="str">
        <f t="shared" si="4"/>
        <v/>
      </c>
      <c r="P837" s="1"/>
    </row>
    <row r="838" ht="12.75" customHeight="1">
      <c r="A838" s="1">
        <v>827.0</v>
      </c>
      <c r="B838" s="408" t="str">
        <f t="shared" si="5"/>
        <v/>
      </c>
      <c r="C838" s="408">
        <f t="shared" si="6"/>
        <v>0</v>
      </c>
      <c r="D838" s="408" t="str">
        <f t="shared" si="7"/>
        <v/>
      </c>
      <c r="E838" s="176" t="str">
        <f t="shared" si="8"/>
        <v/>
      </c>
      <c r="F838" s="408" t="str">
        <f t="shared" si="11"/>
        <v/>
      </c>
      <c r="G838" s="408" t="str">
        <f t="shared" si="12"/>
        <v/>
      </c>
      <c r="H838" s="410">
        <f>IF(K838&gt;='Pro Forma Detail'!D$66,'Pro Forma Detail'!D$67,'Debt ReFi'!$B$5)</f>
        <v>0.0275</v>
      </c>
      <c r="I838" s="1" t="str">
        <f t="shared" si="1"/>
        <v/>
      </c>
      <c r="J838" s="406">
        <f t="shared" si="13"/>
        <v>70799</v>
      </c>
      <c r="K838" s="105">
        <f t="shared" si="9"/>
        <v>73</v>
      </c>
      <c r="L838" s="411" t="str">
        <f t="shared" si="10"/>
        <v/>
      </c>
      <c r="M838" s="407" t="str">
        <f t="shared" si="2"/>
        <v/>
      </c>
      <c r="N838" s="407">
        <f t="shared" si="3"/>
        <v>0</v>
      </c>
      <c r="O838" s="407" t="str">
        <f t="shared" si="4"/>
        <v/>
      </c>
      <c r="P838" s="1"/>
    </row>
    <row r="839" ht="12.75" customHeight="1">
      <c r="A839" s="1">
        <v>828.0</v>
      </c>
      <c r="B839" s="408" t="str">
        <f t="shared" si="5"/>
        <v/>
      </c>
      <c r="C839" s="408">
        <f t="shared" si="6"/>
        <v>0</v>
      </c>
      <c r="D839" s="408" t="str">
        <f t="shared" si="7"/>
        <v/>
      </c>
      <c r="E839" s="176" t="str">
        <f t="shared" si="8"/>
        <v/>
      </c>
      <c r="F839" s="408" t="str">
        <f t="shared" si="11"/>
        <v/>
      </c>
      <c r="G839" s="408" t="str">
        <f t="shared" si="12"/>
        <v/>
      </c>
      <c r="H839" s="410">
        <f>IF(K839&gt;='Pro Forma Detail'!D$66,'Pro Forma Detail'!D$67,'Debt ReFi'!$B$5)</f>
        <v>0.0275</v>
      </c>
      <c r="I839" s="1" t="str">
        <f t="shared" si="1"/>
        <v/>
      </c>
      <c r="J839" s="406">
        <f t="shared" si="13"/>
        <v>70829</v>
      </c>
      <c r="K839" s="105">
        <f t="shared" si="9"/>
        <v>73</v>
      </c>
      <c r="L839" s="411" t="str">
        <f t="shared" si="10"/>
        <v/>
      </c>
      <c r="M839" s="407" t="str">
        <f t="shared" si="2"/>
        <v/>
      </c>
      <c r="N839" s="407">
        <f t="shared" si="3"/>
        <v>0</v>
      </c>
      <c r="O839" s="407" t="str">
        <f t="shared" si="4"/>
        <v/>
      </c>
      <c r="P839" s="1"/>
    </row>
    <row r="840" ht="12.75" customHeight="1">
      <c r="A840" s="1">
        <v>829.0</v>
      </c>
      <c r="B840" s="408" t="str">
        <f t="shared" si="5"/>
        <v/>
      </c>
      <c r="C840" s="408">
        <f t="shared" si="6"/>
        <v>0</v>
      </c>
      <c r="D840" s="408" t="str">
        <f t="shared" si="7"/>
        <v/>
      </c>
      <c r="E840" s="176" t="str">
        <f t="shared" si="8"/>
        <v/>
      </c>
      <c r="F840" s="408" t="str">
        <f t="shared" si="11"/>
        <v/>
      </c>
      <c r="G840" s="408" t="str">
        <f t="shared" si="12"/>
        <v/>
      </c>
      <c r="H840" s="410">
        <f>IF(K840&gt;='Pro Forma Detail'!D$66,'Pro Forma Detail'!D$67,'Debt ReFi'!$B$5)</f>
        <v>0.0275</v>
      </c>
      <c r="I840" s="1" t="str">
        <f t="shared" si="1"/>
        <v/>
      </c>
      <c r="J840" s="406">
        <f t="shared" si="13"/>
        <v>70860</v>
      </c>
      <c r="K840" s="105">
        <f t="shared" si="9"/>
        <v>74</v>
      </c>
      <c r="L840" s="411" t="str">
        <f t="shared" si="10"/>
        <v/>
      </c>
      <c r="M840" s="407" t="str">
        <f t="shared" si="2"/>
        <v/>
      </c>
      <c r="N840" s="407">
        <f t="shared" si="3"/>
        <v>0</v>
      </c>
      <c r="O840" s="407" t="str">
        <f t="shared" si="4"/>
        <v/>
      </c>
      <c r="P840" s="1"/>
    </row>
    <row r="841" ht="12.75" customHeight="1">
      <c r="A841" s="1">
        <v>830.0</v>
      </c>
      <c r="B841" s="408" t="str">
        <f t="shared" si="5"/>
        <v/>
      </c>
      <c r="C841" s="408">
        <f t="shared" si="6"/>
        <v>0</v>
      </c>
      <c r="D841" s="408" t="str">
        <f t="shared" si="7"/>
        <v/>
      </c>
      <c r="E841" s="176" t="str">
        <f t="shared" si="8"/>
        <v/>
      </c>
      <c r="F841" s="408" t="str">
        <f t="shared" si="11"/>
        <v/>
      </c>
      <c r="G841" s="408" t="str">
        <f t="shared" si="12"/>
        <v/>
      </c>
      <c r="H841" s="410">
        <f>IF(K841&gt;='Pro Forma Detail'!D$66,'Pro Forma Detail'!D$67,'Debt ReFi'!$B$5)</f>
        <v>0.0275</v>
      </c>
      <c r="I841" s="1" t="str">
        <f t="shared" si="1"/>
        <v/>
      </c>
      <c r="J841" s="406">
        <f t="shared" si="13"/>
        <v>70891</v>
      </c>
      <c r="K841" s="105">
        <f t="shared" si="9"/>
        <v>74</v>
      </c>
      <c r="L841" s="411" t="str">
        <f t="shared" si="10"/>
        <v/>
      </c>
      <c r="M841" s="407" t="str">
        <f t="shared" si="2"/>
        <v/>
      </c>
      <c r="N841" s="407">
        <f t="shared" si="3"/>
        <v>0</v>
      </c>
      <c r="O841" s="407" t="str">
        <f t="shared" si="4"/>
        <v/>
      </c>
      <c r="P841" s="1"/>
    </row>
    <row r="842" ht="12.75" customHeight="1">
      <c r="A842" s="1">
        <v>831.0</v>
      </c>
      <c r="B842" s="408" t="str">
        <f t="shared" si="5"/>
        <v/>
      </c>
      <c r="C842" s="408">
        <f t="shared" si="6"/>
        <v>0</v>
      </c>
      <c r="D842" s="408" t="str">
        <f t="shared" si="7"/>
        <v/>
      </c>
      <c r="E842" s="176" t="str">
        <f t="shared" si="8"/>
        <v/>
      </c>
      <c r="F842" s="408" t="str">
        <f t="shared" si="11"/>
        <v/>
      </c>
      <c r="G842" s="408" t="str">
        <f t="shared" si="12"/>
        <v/>
      </c>
      <c r="H842" s="410">
        <f>IF(K842&gt;='Pro Forma Detail'!D$66,'Pro Forma Detail'!D$67,'Debt ReFi'!$B$5)</f>
        <v>0.0275</v>
      </c>
      <c r="I842" s="1" t="str">
        <f t="shared" si="1"/>
        <v/>
      </c>
      <c r="J842" s="406">
        <f t="shared" si="13"/>
        <v>70919</v>
      </c>
      <c r="K842" s="105">
        <f t="shared" si="9"/>
        <v>74</v>
      </c>
      <c r="L842" s="411" t="str">
        <f t="shared" si="10"/>
        <v/>
      </c>
      <c r="M842" s="407" t="str">
        <f t="shared" si="2"/>
        <v/>
      </c>
      <c r="N842" s="407">
        <f t="shared" si="3"/>
        <v>0</v>
      </c>
      <c r="O842" s="407" t="str">
        <f t="shared" si="4"/>
        <v/>
      </c>
      <c r="P842" s="1"/>
    </row>
    <row r="843" ht="12.75" customHeight="1">
      <c r="A843" s="1">
        <v>832.0</v>
      </c>
      <c r="B843" s="408" t="str">
        <f t="shared" si="5"/>
        <v/>
      </c>
      <c r="C843" s="408">
        <f t="shared" si="6"/>
        <v>0</v>
      </c>
      <c r="D843" s="408" t="str">
        <f t="shared" si="7"/>
        <v/>
      </c>
      <c r="E843" s="176" t="str">
        <f t="shared" si="8"/>
        <v/>
      </c>
      <c r="F843" s="408" t="str">
        <f t="shared" si="11"/>
        <v/>
      </c>
      <c r="G843" s="408" t="str">
        <f t="shared" si="12"/>
        <v/>
      </c>
      <c r="H843" s="410">
        <f>IF(K843&gt;='Pro Forma Detail'!D$66,'Pro Forma Detail'!D$67,'Debt ReFi'!$B$5)</f>
        <v>0.0275</v>
      </c>
      <c r="I843" s="1" t="str">
        <f t="shared" si="1"/>
        <v/>
      </c>
      <c r="J843" s="406">
        <f t="shared" si="13"/>
        <v>70950</v>
      </c>
      <c r="K843" s="105">
        <f t="shared" si="9"/>
        <v>74</v>
      </c>
      <c r="L843" s="411" t="str">
        <f t="shared" si="10"/>
        <v/>
      </c>
      <c r="M843" s="407" t="str">
        <f t="shared" si="2"/>
        <v/>
      </c>
      <c r="N843" s="407">
        <f t="shared" si="3"/>
        <v>0</v>
      </c>
      <c r="O843" s="407" t="str">
        <f t="shared" si="4"/>
        <v/>
      </c>
      <c r="P843" s="1"/>
    </row>
    <row r="844" ht="12.75" customHeight="1">
      <c r="A844" s="1">
        <v>833.0</v>
      </c>
      <c r="B844" s="408" t="str">
        <f t="shared" si="5"/>
        <v/>
      </c>
      <c r="C844" s="408">
        <f t="shared" si="6"/>
        <v>0</v>
      </c>
      <c r="D844" s="408" t="str">
        <f t="shared" si="7"/>
        <v/>
      </c>
      <c r="E844" s="176" t="str">
        <f t="shared" si="8"/>
        <v/>
      </c>
      <c r="F844" s="408" t="str">
        <f t="shared" si="11"/>
        <v/>
      </c>
      <c r="G844" s="408" t="str">
        <f t="shared" si="12"/>
        <v/>
      </c>
      <c r="H844" s="410">
        <f>IF(K844&gt;='Pro Forma Detail'!D$66,'Pro Forma Detail'!D$67,'Debt ReFi'!$B$5)</f>
        <v>0.0275</v>
      </c>
      <c r="I844" s="1" t="str">
        <f t="shared" si="1"/>
        <v/>
      </c>
      <c r="J844" s="406">
        <f t="shared" si="13"/>
        <v>70980</v>
      </c>
      <c r="K844" s="105">
        <f t="shared" si="9"/>
        <v>74</v>
      </c>
      <c r="L844" s="411" t="str">
        <f t="shared" si="10"/>
        <v/>
      </c>
      <c r="M844" s="407" t="str">
        <f t="shared" si="2"/>
        <v/>
      </c>
      <c r="N844" s="407">
        <f t="shared" si="3"/>
        <v>0</v>
      </c>
      <c r="O844" s="407" t="str">
        <f t="shared" si="4"/>
        <v/>
      </c>
      <c r="P844" s="1"/>
    </row>
    <row r="845" ht="12.75" customHeight="1">
      <c r="A845" s="1">
        <v>834.0</v>
      </c>
      <c r="B845" s="408" t="str">
        <f t="shared" si="5"/>
        <v/>
      </c>
      <c r="C845" s="408">
        <f t="shared" si="6"/>
        <v>0</v>
      </c>
      <c r="D845" s="408" t="str">
        <f t="shared" si="7"/>
        <v/>
      </c>
      <c r="E845" s="176" t="str">
        <f t="shared" si="8"/>
        <v/>
      </c>
      <c r="F845" s="408" t="str">
        <f t="shared" si="11"/>
        <v/>
      </c>
      <c r="G845" s="408" t="str">
        <f t="shared" si="12"/>
        <v/>
      </c>
      <c r="H845" s="410">
        <f>IF(K845&gt;='Pro Forma Detail'!D$66,'Pro Forma Detail'!D$67,'Debt ReFi'!$B$5)</f>
        <v>0.0275</v>
      </c>
      <c r="I845" s="1" t="str">
        <f t="shared" si="1"/>
        <v/>
      </c>
      <c r="J845" s="406">
        <f t="shared" si="13"/>
        <v>71011</v>
      </c>
      <c r="K845" s="105">
        <f t="shared" si="9"/>
        <v>74</v>
      </c>
      <c r="L845" s="411" t="str">
        <f t="shared" si="10"/>
        <v/>
      </c>
      <c r="M845" s="407" t="str">
        <f t="shared" si="2"/>
        <v/>
      </c>
      <c r="N845" s="407">
        <f t="shared" si="3"/>
        <v>0</v>
      </c>
      <c r="O845" s="407" t="str">
        <f t="shared" si="4"/>
        <v/>
      </c>
      <c r="P845" s="1"/>
    </row>
    <row r="846" ht="12.75" customHeight="1">
      <c r="A846" s="1">
        <v>835.0</v>
      </c>
      <c r="B846" s="408" t="str">
        <f t="shared" si="5"/>
        <v/>
      </c>
      <c r="C846" s="408">
        <f t="shared" si="6"/>
        <v>0</v>
      </c>
      <c r="D846" s="408" t="str">
        <f t="shared" si="7"/>
        <v/>
      </c>
      <c r="E846" s="176" t="str">
        <f t="shared" si="8"/>
        <v/>
      </c>
      <c r="F846" s="408" t="str">
        <f t="shared" si="11"/>
        <v/>
      </c>
      <c r="G846" s="408" t="str">
        <f t="shared" si="12"/>
        <v/>
      </c>
      <c r="H846" s="410">
        <f>IF(K846&gt;='Pro Forma Detail'!D$66,'Pro Forma Detail'!D$67,'Debt ReFi'!$B$5)</f>
        <v>0.0275</v>
      </c>
      <c r="I846" s="1" t="str">
        <f t="shared" si="1"/>
        <v/>
      </c>
      <c r="J846" s="406">
        <f t="shared" si="13"/>
        <v>71041</v>
      </c>
      <c r="K846" s="105">
        <f t="shared" si="9"/>
        <v>74</v>
      </c>
      <c r="L846" s="411" t="str">
        <f t="shared" si="10"/>
        <v/>
      </c>
      <c r="M846" s="407" t="str">
        <f t="shared" si="2"/>
        <v/>
      </c>
      <c r="N846" s="407">
        <f t="shared" si="3"/>
        <v>0</v>
      </c>
      <c r="O846" s="407" t="str">
        <f t="shared" si="4"/>
        <v/>
      </c>
      <c r="P846" s="1"/>
    </row>
    <row r="847" ht="12.75" customHeight="1">
      <c r="A847" s="1">
        <v>836.0</v>
      </c>
      <c r="B847" s="408" t="str">
        <f t="shared" si="5"/>
        <v/>
      </c>
      <c r="C847" s="408">
        <f t="shared" si="6"/>
        <v>0</v>
      </c>
      <c r="D847" s="408" t="str">
        <f t="shared" si="7"/>
        <v/>
      </c>
      <c r="E847" s="176" t="str">
        <f t="shared" si="8"/>
        <v/>
      </c>
      <c r="F847" s="408" t="str">
        <f t="shared" si="11"/>
        <v/>
      </c>
      <c r="G847" s="408" t="str">
        <f t="shared" si="12"/>
        <v/>
      </c>
      <c r="H847" s="410">
        <f>IF(K847&gt;='Pro Forma Detail'!D$66,'Pro Forma Detail'!D$67,'Debt ReFi'!$B$5)</f>
        <v>0.0275</v>
      </c>
      <c r="I847" s="1" t="str">
        <f t="shared" si="1"/>
        <v/>
      </c>
      <c r="J847" s="406">
        <f t="shared" si="13"/>
        <v>71072</v>
      </c>
      <c r="K847" s="105">
        <f t="shared" si="9"/>
        <v>74</v>
      </c>
      <c r="L847" s="411" t="str">
        <f t="shared" si="10"/>
        <v/>
      </c>
      <c r="M847" s="407" t="str">
        <f t="shared" si="2"/>
        <v/>
      </c>
      <c r="N847" s="407">
        <f t="shared" si="3"/>
        <v>0</v>
      </c>
      <c r="O847" s="407" t="str">
        <f t="shared" si="4"/>
        <v/>
      </c>
      <c r="P847" s="1"/>
    </row>
    <row r="848" ht="12.75" customHeight="1">
      <c r="A848" s="1">
        <v>837.0</v>
      </c>
      <c r="B848" s="408" t="str">
        <f t="shared" si="5"/>
        <v/>
      </c>
      <c r="C848" s="408">
        <f t="shared" si="6"/>
        <v>0</v>
      </c>
      <c r="D848" s="408" t="str">
        <f t="shared" si="7"/>
        <v/>
      </c>
      <c r="E848" s="176" t="str">
        <f t="shared" si="8"/>
        <v/>
      </c>
      <c r="F848" s="408" t="str">
        <f t="shared" si="11"/>
        <v/>
      </c>
      <c r="G848" s="408" t="str">
        <f t="shared" si="12"/>
        <v/>
      </c>
      <c r="H848" s="410">
        <f>IF(K848&gt;='Pro Forma Detail'!D$66,'Pro Forma Detail'!D$67,'Debt ReFi'!$B$5)</f>
        <v>0.0275</v>
      </c>
      <c r="I848" s="1" t="str">
        <f t="shared" si="1"/>
        <v/>
      </c>
      <c r="J848" s="406">
        <f t="shared" si="13"/>
        <v>71103</v>
      </c>
      <c r="K848" s="105">
        <f t="shared" si="9"/>
        <v>74</v>
      </c>
      <c r="L848" s="411" t="str">
        <f t="shared" si="10"/>
        <v/>
      </c>
      <c r="M848" s="407" t="str">
        <f t="shared" si="2"/>
        <v/>
      </c>
      <c r="N848" s="407">
        <f t="shared" si="3"/>
        <v>0</v>
      </c>
      <c r="O848" s="407" t="str">
        <f t="shared" si="4"/>
        <v/>
      </c>
      <c r="P848" s="1"/>
    </row>
    <row r="849" ht="12.75" customHeight="1">
      <c r="A849" s="1">
        <v>838.0</v>
      </c>
      <c r="B849" s="408" t="str">
        <f t="shared" si="5"/>
        <v/>
      </c>
      <c r="C849" s="408">
        <f t="shared" si="6"/>
        <v>0</v>
      </c>
      <c r="D849" s="408" t="str">
        <f t="shared" si="7"/>
        <v/>
      </c>
      <c r="E849" s="176" t="str">
        <f t="shared" si="8"/>
        <v/>
      </c>
      <c r="F849" s="408" t="str">
        <f t="shared" si="11"/>
        <v/>
      </c>
      <c r="G849" s="408" t="str">
        <f t="shared" si="12"/>
        <v/>
      </c>
      <c r="H849" s="410">
        <f>IF(K849&gt;='Pro Forma Detail'!D$66,'Pro Forma Detail'!D$67,'Debt ReFi'!$B$5)</f>
        <v>0.0275</v>
      </c>
      <c r="I849" s="1" t="str">
        <f t="shared" si="1"/>
        <v/>
      </c>
      <c r="J849" s="406">
        <f t="shared" si="13"/>
        <v>71133</v>
      </c>
      <c r="K849" s="105">
        <f t="shared" si="9"/>
        <v>74</v>
      </c>
      <c r="L849" s="411" t="str">
        <f t="shared" si="10"/>
        <v/>
      </c>
      <c r="M849" s="407" t="str">
        <f t="shared" si="2"/>
        <v/>
      </c>
      <c r="N849" s="407">
        <f t="shared" si="3"/>
        <v>0</v>
      </c>
      <c r="O849" s="407" t="str">
        <f t="shared" si="4"/>
        <v/>
      </c>
      <c r="P849" s="1"/>
    </row>
    <row r="850" ht="12.75" customHeight="1">
      <c r="A850" s="1">
        <v>839.0</v>
      </c>
      <c r="B850" s="408" t="str">
        <f t="shared" si="5"/>
        <v/>
      </c>
      <c r="C850" s="408">
        <f t="shared" si="6"/>
        <v>0</v>
      </c>
      <c r="D850" s="408" t="str">
        <f t="shared" si="7"/>
        <v/>
      </c>
      <c r="E850" s="176" t="str">
        <f t="shared" si="8"/>
        <v/>
      </c>
      <c r="F850" s="408" t="str">
        <f t="shared" si="11"/>
        <v/>
      </c>
      <c r="G850" s="408" t="str">
        <f t="shared" si="12"/>
        <v/>
      </c>
      <c r="H850" s="410">
        <f>IF(K850&gt;='Pro Forma Detail'!D$66,'Pro Forma Detail'!D$67,'Debt ReFi'!$B$5)</f>
        <v>0.0275</v>
      </c>
      <c r="I850" s="1" t="str">
        <f t="shared" si="1"/>
        <v/>
      </c>
      <c r="J850" s="406">
        <f t="shared" si="13"/>
        <v>71164</v>
      </c>
      <c r="K850" s="105">
        <f t="shared" si="9"/>
        <v>74</v>
      </c>
      <c r="L850" s="411" t="str">
        <f t="shared" si="10"/>
        <v/>
      </c>
      <c r="M850" s="407" t="str">
        <f t="shared" si="2"/>
        <v/>
      </c>
      <c r="N850" s="407">
        <f t="shared" si="3"/>
        <v>0</v>
      </c>
      <c r="O850" s="407" t="str">
        <f t="shared" si="4"/>
        <v/>
      </c>
      <c r="P850" s="1"/>
    </row>
    <row r="851" ht="12.75" customHeight="1">
      <c r="A851" s="1">
        <v>840.0</v>
      </c>
      <c r="B851" s="408" t="str">
        <f t="shared" si="5"/>
        <v/>
      </c>
      <c r="C851" s="408">
        <f t="shared" si="6"/>
        <v>0</v>
      </c>
      <c r="D851" s="408" t="str">
        <f t="shared" si="7"/>
        <v/>
      </c>
      <c r="E851" s="176" t="str">
        <f t="shared" si="8"/>
        <v/>
      </c>
      <c r="F851" s="408" t="str">
        <f t="shared" si="11"/>
        <v/>
      </c>
      <c r="G851" s="408" t="str">
        <f t="shared" si="12"/>
        <v/>
      </c>
      <c r="H851" s="410">
        <f>IF(K851&gt;='Pro Forma Detail'!D$66,'Pro Forma Detail'!D$67,'Debt ReFi'!$B$5)</f>
        <v>0.0275</v>
      </c>
      <c r="I851" s="1" t="str">
        <f t="shared" si="1"/>
        <v/>
      </c>
      <c r="J851" s="406">
        <f t="shared" si="13"/>
        <v>71194</v>
      </c>
      <c r="K851" s="105">
        <f t="shared" si="9"/>
        <v>74</v>
      </c>
      <c r="L851" s="411" t="str">
        <f t="shared" si="10"/>
        <v/>
      </c>
      <c r="M851" s="407" t="str">
        <f t="shared" si="2"/>
        <v/>
      </c>
      <c r="N851" s="407">
        <f t="shared" si="3"/>
        <v>0</v>
      </c>
      <c r="O851" s="407" t="str">
        <f t="shared" si="4"/>
        <v/>
      </c>
      <c r="P851" s="1"/>
    </row>
    <row r="852" ht="12.75" customHeight="1">
      <c r="A852" s="1">
        <v>841.0</v>
      </c>
      <c r="B852" s="408" t="str">
        <f t="shared" si="5"/>
        <v/>
      </c>
      <c r="C852" s="408">
        <f t="shared" si="6"/>
        <v>0</v>
      </c>
      <c r="D852" s="408" t="str">
        <f t="shared" si="7"/>
        <v/>
      </c>
      <c r="E852" s="176" t="str">
        <f t="shared" si="8"/>
        <v/>
      </c>
      <c r="F852" s="408" t="str">
        <f t="shared" si="11"/>
        <v/>
      </c>
      <c r="G852" s="408" t="str">
        <f t="shared" si="12"/>
        <v/>
      </c>
      <c r="H852" s="410">
        <f>IF(K852&gt;='Pro Forma Detail'!D$66,'Pro Forma Detail'!D$67,'Debt ReFi'!$B$5)</f>
        <v>0.0275</v>
      </c>
      <c r="I852" s="1" t="str">
        <f t="shared" si="1"/>
        <v/>
      </c>
      <c r="J852" s="406">
        <f t="shared" si="13"/>
        <v>71225</v>
      </c>
      <c r="K852" s="105">
        <f t="shared" si="9"/>
        <v>75</v>
      </c>
      <c r="L852" s="411" t="str">
        <f t="shared" si="10"/>
        <v/>
      </c>
      <c r="M852" s="407" t="str">
        <f t="shared" si="2"/>
        <v/>
      </c>
      <c r="N852" s="407">
        <f t="shared" si="3"/>
        <v>0</v>
      </c>
      <c r="O852" s="407" t="str">
        <f t="shared" si="4"/>
        <v/>
      </c>
      <c r="P852" s="1"/>
    </row>
    <row r="853" ht="12.75" customHeight="1">
      <c r="A853" s="1">
        <v>842.0</v>
      </c>
      <c r="B853" s="408" t="str">
        <f t="shared" si="5"/>
        <v/>
      </c>
      <c r="C853" s="408">
        <f t="shared" si="6"/>
        <v>0</v>
      </c>
      <c r="D853" s="408" t="str">
        <f t="shared" si="7"/>
        <v/>
      </c>
      <c r="E853" s="176" t="str">
        <f t="shared" si="8"/>
        <v/>
      </c>
      <c r="F853" s="408" t="str">
        <f t="shared" si="11"/>
        <v/>
      </c>
      <c r="G853" s="408" t="str">
        <f t="shared" si="12"/>
        <v/>
      </c>
      <c r="H853" s="410">
        <f>IF(K853&gt;='Pro Forma Detail'!D$66,'Pro Forma Detail'!D$67,'Debt ReFi'!$B$5)</f>
        <v>0.0275</v>
      </c>
      <c r="I853" s="1" t="str">
        <f t="shared" si="1"/>
        <v/>
      </c>
      <c r="J853" s="406">
        <f t="shared" si="13"/>
        <v>71256</v>
      </c>
      <c r="K853" s="105">
        <f t="shared" si="9"/>
        <v>75</v>
      </c>
      <c r="L853" s="411" t="str">
        <f t="shared" si="10"/>
        <v/>
      </c>
      <c r="M853" s="407" t="str">
        <f t="shared" si="2"/>
        <v/>
      </c>
      <c r="N853" s="407">
        <f t="shared" si="3"/>
        <v>0</v>
      </c>
      <c r="O853" s="407" t="str">
        <f t="shared" si="4"/>
        <v/>
      </c>
      <c r="P853" s="1"/>
    </row>
    <row r="854" ht="12.75" customHeight="1">
      <c r="A854" s="1">
        <v>843.0</v>
      </c>
      <c r="B854" s="408" t="str">
        <f t="shared" si="5"/>
        <v/>
      </c>
      <c r="C854" s="408">
        <f t="shared" si="6"/>
        <v>0</v>
      </c>
      <c r="D854" s="408" t="str">
        <f t="shared" si="7"/>
        <v/>
      </c>
      <c r="E854" s="176" t="str">
        <f t="shared" si="8"/>
        <v/>
      </c>
      <c r="F854" s="408" t="str">
        <f t="shared" si="11"/>
        <v/>
      </c>
      <c r="G854" s="408" t="str">
        <f t="shared" si="12"/>
        <v/>
      </c>
      <c r="H854" s="410">
        <f>IF(K854&gt;='Pro Forma Detail'!D$66,'Pro Forma Detail'!D$67,'Debt ReFi'!$B$5)</f>
        <v>0.0275</v>
      </c>
      <c r="I854" s="1" t="str">
        <f t="shared" si="1"/>
        <v/>
      </c>
      <c r="J854" s="406">
        <f t="shared" si="13"/>
        <v>71284</v>
      </c>
      <c r="K854" s="105">
        <f t="shared" si="9"/>
        <v>75</v>
      </c>
      <c r="L854" s="411" t="str">
        <f t="shared" si="10"/>
        <v/>
      </c>
      <c r="M854" s="407" t="str">
        <f t="shared" si="2"/>
        <v/>
      </c>
      <c r="N854" s="407">
        <f t="shared" si="3"/>
        <v>0</v>
      </c>
      <c r="O854" s="407" t="str">
        <f t="shared" si="4"/>
        <v/>
      </c>
      <c r="P854" s="1"/>
    </row>
    <row r="855" ht="12.75" customHeight="1">
      <c r="A855" s="1">
        <v>844.0</v>
      </c>
      <c r="B855" s="408" t="str">
        <f t="shared" si="5"/>
        <v/>
      </c>
      <c r="C855" s="408">
        <f t="shared" si="6"/>
        <v>0</v>
      </c>
      <c r="D855" s="408" t="str">
        <f t="shared" si="7"/>
        <v/>
      </c>
      <c r="E855" s="176" t="str">
        <f t="shared" si="8"/>
        <v/>
      </c>
      <c r="F855" s="408" t="str">
        <f t="shared" si="11"/>
        <v/>
      </c>
      <c r="G855" s="408" t="str">
        <f t="shared" si="12"/>
        <v/>
      </c>
      <c r="H855" s="410">
        <f>IF(K855&gt;='Pro Forma Detail'!D$66,'Pro Forma Detail'!D$67,'Debt ReFi'!$B$5)</f>
        <v>0.0275</v>
      </c>
      <c r="I855" s="1" t="str">
        <f t="shared" si="1"/>
        <v/>
      </c>
      <c r="J855" s="406">
        <f t="shared" si="13"/>
        <v>71315</v>
      </c>
      <c r="K855" s="105">
        <f t="shared" si="9"/>
        <v>75</v>
      </c>
      <c r="L855" s="411" t="str">
        <f t="shared" si="10"/>
        <v/>
      </c>
      <c r="M855" s="407" t="str">
        <f t="shared" si="2"/>
        <v/>
      </c>
      <c r="N855" s="407">
        <f t="shared" si="3"/>
        <v>0</v>
      </c>
      <c r="O855" s="407" t="str">
        <f t="shared" si="4"/>
        <v/>
      </c>
      <c r="P855" s="1"/>
    </row>
    <row r="856" ht="12.75" customHeight="1">
      <c r="A856" s="1">
        <v>845.0</v>
      </c>
      <c r="B856" s="408" t="str">
        <f t="shared" si="5"/>
        <v/>
      </c>
      <c r="C856" s="408">
        <f t="shared" si="6"/>
        <v>0</v>
      </c>
      <c r="D856" s="408" t="str">
        <f t="shared" si="7"/>
        <v/>
      </c>
      <c r="E856" s="176" t="str">
        <f t="shared" si="8"/>
        <v/>
      </c>
      <c r="F856" s="408" t="str">
        <f t="shared" si="11"/>
        <v/>
      </c>
      <c r="G856" s="408" t="str">
        <f t="shared" si="12"/>
        <v/>
      </c>
      <c r="H856" s="410">
        <f>IF(K856&gt;='Pro Forma Detail'!D$66,'Pro Forma Detail'!D$67,'Debt ReFi'!$B$5)</f>
        <v>0.0275</v>
      </c>
      <c r="I856" s="1" t="str">
        <f t="shared" si="1"/>
        <v/>
      </c>
      <c r="J856" s="406">
        <f t="shared" si="13"/>
        <v>71345</v>
      </c>
      <c r="K856" s="105">
        <f t="shared" si="9"/>
        <v>75</v>
      </c>
      <c r="L856" s="411" t="str">
        <f t="shared" si="10"/>
        <v/>
      </c>
      <c r="M856" s="407" t="str">
        <f t="shared" si="2"/>
        <v/>
      </c>
      <c r="N856" s="407">
        <f t="shared" si="3"/>
        <v>0</v>
      </c>
      <c r="O856" s="407" t="str">
        <f t="shared" si="4"/>
        <v/>
      </c>
      <c r="P856" s="1"/>
    </row>
    <row r="857" ht="12.75" customHeight="1">
      <c r="A857" s="1">
        <v>846.0</v>
      </c>
      <c r="B857" s="408" t="str">
        <f t="shared" si="5"/>
        <v/>
      </c>
      <c r="C857" s="408">
        <f t="shared" si="6"/>
        <v>0</v>
      </c>
      <c r="D857" s="408" t="str">
        <f t="shared" si="7"/>
        <v/>
      </c>
      <c r="E857" s="176" t="str">
        <f t="shared" si="8"/>
        <v/>
      </c>
      <c r="F857" s="408" t="str">
        <f t="shared" si="11"/>
        <v/>
      </c>
      <c r="G857" s="408" t="str">
        <f t="shared" si="12"/>
        <v/>
      </c>
      <c r="H857" s="410">
        <f>IF(K857&gt;='Pro Forma Detail'!D$66,'Pro Forma Detail'!D$67,'Debt ReFi'!$B$5)</f>
        <v>0.0275</v>
      </c>
      <c r="I857" s="1" t="str">
        <f t="shared" si="1"/>
        <v/>
      </c>
      <c r="J857" s="406">
        <f t="shared" si="13"/>
        <v>71376</v>
      </c>
      <c r="K857" s="105">
        <f t="shared" si="9"/>
        <v>75</v>
      </c>
      <c r="L857" s="411" t="str">
        <f t="shared" si="10"/>
        <v/>
      </c>
      <c r="M857" s="407" t="str">
        <f t="shared" si="2"/>
        <v/>
      </c>
      <c r="N857" s="407">
        <f t="shared" si="3"/>
        <v>0</v>
      </c>
      <c r="O857" s="407" t="str">
        <f t="shared" si="4"/>
        <v/>
      </c>
      <c r="P857" s="1"/>
    </row>
    <row r="858" ht="12.75" customHeight="1">
      <c r="A858" s="1">
        <v>847.0</v>
      </c>
      <c r="B858" s="408" t="str">
        <f t="shared" si="5"/>
        <v/>
      </c>
      <c r="C858" s="408">
        <f t="shared" si="6"/>
        <v>0</v>
      </c>
      <c r="D858" s="408" t="str">
        <f t="shared" si="7"/>
        <v/>
      </c>
      <c r="E858" s="176" t="str">
        <f t="shared" si="8"/>
        <v/>
      </c>
      <c r="F858" s="408" t="str">
        <f t="shared" si="11"/>
        <v/>
      </c>
      <c r="G858" s="408" t="str">
        <f t="shared" si="12"/>
        <v/>
      </c>
      <c r="H858" s="410">
        <f>IF(K858&gt;='Pro Forma Detail'!D$66,'Pro Forma Detail'!D$67,'Debt ReFi'!$B$5)</f>
        <v>0.0275</v>
      </c>
      <c r="I858" s="1" t="str">
        <f t="shared" si="1"/>
        <v/>
      </c>
      <c r="J858" s="406">
        <f t="shared" si="13"/>
        <v>71406</v>
      </c>
      <c r="K858" s="105">
        <f t="shared" si="9"/>
        <v>75</v>
      </c>
      <c r="L858" s="411" t="str">
        <f t="shared" si="10"/>
        <v/>
      </c>
      <c r="M858" s="407" t="str">
        <f t="shared" si="2"/>
        <v/>
      </c>
      <c r="N858" s="407">
        <f t="shared" si="3"/>
        <v>0</v>
      </c>
      <c r="O858" s="407" t="str">
        <f t="shared" si="4"/>
        <v/>
      </c>
      <c r="P858" s="1"/>
    </row>
    <row r="859" ht="12.75" customHeight="1">
      <c r="A859" s="1">
        <v>848.0</v>
      </c>
      <c r="B859" s="408" t="str">
        <f t="shared" si="5"/>
        <v/>
      </c>
      <c r="C859" s="408">
        <f t="shared" si="6"/>
        <v>0</v>
      </c>
      <c r="D859" s="408" t="str">
        <f t="shared" si="7"/>
        <v/>
      </c>
      <c r="E859" s="176" t="str">
        <f t="shared" si="8"/>
        <v/>
      </c>
      <c r="F859" s="408" t="str">
        <f t="shared" si="11"/>
        <v/>
      </c>
      <c r="G859" s="408" t="str">
        <f t="shared" si="12"/>
        <v/>
      </c>
      <c r="H859" s="410">
        <f>IF(K859&gt;='Pro Forma Detail'!D$66,'Pro Forma Detail'!D$67,'Debt ReFi'!$B$5)</f>
        <v>0.0275</v>
      </c>
      <c r="I859" s="1" t="str">
        <f t="shared" si="1"/>
        <v/>
      </c>
      <c r="J859" s="406">
        <f t="shared" si="13"/>
        <v>71437</v>
      </c>
      <c r="K859" s="105">
        <f t="shared" si="9"/>
        <v>75</v>
      </c>
      <c r="L859" s="411" t="str">
        <f t="shared" si="10"/>
        <v/>
      </c>
      <c r="M859" s="407" t="str">
        <f t="shared" si="2"/>
        <v/>
      </c>
      <c r="N859" s="407">
        <f t="shared" si="3"/>
        <v>0</v>
      </c>
      <c r="O859" s="407" t="str">
        <f t="shared" si="4"/>
        <v/>
      </c>
      <c r="P859" s="1"/>
    </row>
    <row r="860" ht="12.75" customHeight="1">
      <c r="A860" s="1">
        <v>849.0</v>
      </c>
      <c r="B860" s="408" t="str">
        <f t="shared" si="5"/>
        <v/>
      </c>
      <c r="C860" s="408">
        <f t="shared" si="6"/>
        <v>0</v>
      </c>
      <c r="D860" s="408" t="str">
        <f t="shared" si="7"/>
        <v/>
      </c>
      <c r="E860" s="176" t="str">
        <f t="shared" si="8"/>
        <v/>
      </c>
      <c r="F860" s="408" t="str">
        <f t="shared" si="11"/>
        <v/>
      </c>
      <c r="G860" s="408" t="str">
        <f t="shared" si="12"/>
        <v/>
      </c>
      <c r="H860" s="410">
        <f>IF(K860&gt;='Pro Forma Detail'!D$66,'Pro Forma Detail'!D$67,'Debt ReFi'!$B$5)</f>
        <v>0.0275</v>
      </c>
      <c r="I860" s="1" t="str">
        <f t="shared" si="1"/>
        <v/>
      </c>
      <c r="J860" s="406">
        <f t="shared" si="13"/>
        <v>71468</v>
      </c>
      <c r="K860" s="105">
        <f t="shared" si="9"/>
        <v>75</v>
      </c>
      <c r="L860" s="411" t="str">
        <f t="shared" si="10"/>
        <v/>
      </c>
      <c r="M860" s="407" t="str">
        <f t="shared" si="2"/>
        <v/>
      </c>
      <c r="N860" s="407">
        <f t="shared" si="3"/>
        <v>0</v>
      </c>
      <c r="O860" s="407" t="str">
        <f t="shared" si="4"/>
        <v/>
      </c>
      <c r="P860" s="1"/>
    </row>
    <row r="861" ht="12.75" customHeight="1">
      <c r="A861" s="1">
        <v>850.0</v>
      </c>
      <c r="B861" s="408" t="str">
        <f t="shared" si="5"/>
        <v/>
      </c>
      <c r="C861" s="408">
        <f t="shared" si="6"/>
        <v>0</v>
      </c>
      <c r="D861" s="408" t="str">
        <f t="shared" si="7"/>
        <v/>
      </c>
      <c r="E861" s="176" t="str">
        <f t="shared" si="8"/>
        <v/>
      </c>
      <c r="F861" s="408" t="str">
        <f t="shared" si="11"/>
        <v/>
      </c>
      <c r="G861" s="408" t="str">
        <f t="shared" si="12"/>
        <v/>
      </c>
      <c r="H861" s="410">
        <f>IF(K861&gt;='Pro Forma Detail'!D$66,'Pro Forma Detail'!D$67,'Debt ReFi'!$B$5)</f>
        <v>0.0275</v>
      </c>
      <c r="I861" s="1" t="str">
        <f t="shared" si="1"/>
        <v/>
      </c>
      <c r="J861" s="406">
        <f t="shared" si="13"/>
        <v>71498</v>
      </c>
      <c r="K861" s="105">
        <f t="shared" si="9"/>
        <v>75</v>
      </c>
      <c r="L861" s="411" t="str">
        <f t="shared" si="10"/>
        <v/>
      </c>
      <c r="M861" s="407" t="str">
        <f t="shared" si="2"/>
        <v/>
      </c>
      <c r="N861" s="407">
        <f t="shared" si="3"/>
        <v>0</v>
      </c>
      <c r="O861" s="407" t="str">
        <f t="shared" si="4"/>
        <v/>
      </c>
      <c r="P861" s="1"/>
    </row>
    <row r="862" ht="12.75" customHeight="1">
      <c r="A862" s="1">
        <v>851.0</v>
      </c>
      <c r="B862" s="408" t="str">
        <f t="shared" si="5"/>
        <v/>
      </c>
      <c r="C862" s="408">
        <f t="shared" si="6"/>
        <v>0</v>
      </c>
      <c r="D862" s="408" t="str">
        <f t="shared" si="7"/>
        <v/>
      </c>
      <c r="E862" s="176" t="str">
        <f t="shared" si="8"/>
        <v/>
      </c>
      <c r="F862" s="408" t="str">
        <f t="shared" si="11"/>
        <v/>
      </c>
      <c r="G862" s="408" t="str">
        <f t="shared" si="12"/>
        <v/>
      </c>
      <c r="H862" s="410">
        <f>IF(K862&gt;='Pro Forma Detail'!D$66,'Pro Forma Detail'!D$67,'Debt ReFi'!$B$5)</f>
        <v>0.0275</v>
      </c>
      <c r="I862" s="1" t="str">
        <f t="shared" si="1"/>
        <v/>
      </c>
      <c r="J862" s="406">
        <f t="shared" si="13"/>
        <v>71529</v>
      </c>
      <c r="K862" s="105">
        <f t="shared" si="9"/>
        <v>75</v>
      </c>
      <c r="L862" s="411" t="str">
        <f t="shared" si="10"/>
        <v/>
      </c>
      <c r="M862" s="407" t="str">
        <f t="shared" si="2"/>
        <v/>
      </c>
      <c r="N862" s="407">
        <f t="shared" si="3"/>
        <v>0</v>
      </c>
      <c r="O862" s="407" t="str">
        <f t="shared" si="4"/>
        <v/>
      </c>
      <c r="P862" s="1"/>
    </row>
    <row r="863" ht="12.75" customHeight="1">
      <c r="A863" s="1">
        <v>852.0</v>
      </c>
      <c r="B863" s="408" t="str">
        <f t="shared" si="5"/>
        <v/>
      </c>
      <c r="C863" s="408">
        <f t="shared" si="6"/>
        <v>0</v>
      </c>
      <c r="D863" s="408" t="str">
        <f t="shared" si="7"/>
        <v/>
      </c>
      <c r="E863" s="176" t="str">
        <f t="shared" si="8"/>
        <v/>
      </c>
      <c r="F863" s="408" t="str">
        <f t="shared" si="11"/>
        <v/>
      </c>
      <c r="G863" s="408" t="str">
        <f t="shared" si="12"/>
        <v/>
      </c>
      <c r="H863" s="410">
        <f>IF(K863&gt;='Pro Forma Detail'!D$66,'Pro Forma Detail'!D$67,'Debt ReFi'!$B$5)</f>
        <v>0.0275</v>
      </c>
      <c r="I863" s="1" t="str">
        <f t="shared" si="1"/>
        <v/>
      </c>
      <c r="J863" s="406">
        <f t="shared" si="13"/>
        <v>71559</v>
      </c>
      <c r="K863" s="105">
        <f t="shared" si="9"/>
        <v>75</v>
      </c>
      <c r="L863" s="411" t="str">
        <f t="shared" si="10"/>
        <v/>
      </c>
      <c r="M863" s="407" t="str">
        <f t="shared" si="2"/>
        <v/>
      </c>
      <c r="N863" s="407">
        <f t="shared" si="3"/>
        <v>0</v>
      </c>
      <c r="O863" s="407" t="str">
        <f t="shared" si="4"/>
        <v/>
      </c>
      <c r="P863" s="1"/>
    </row>
    <row r="864" ht="12.75" customHeight="1">
      <c r="A864" s="1">
        <v>853.0</v>
      </c>
      <c r="B864" s="408" t="str">
        <f t="shared" si="5"/>
        <v/>
      </c>
      <c r="C864" s="408">
        <f t="shared" si="6"/>
        <v>0</v>
      </c>
      <c r="D864" s="408" t="str">
        <f t="shared" si="7"/>
        <v/>
      </c>
      <c r="E864" s="176" t="str">
        <f t="shared" si="8"/>
        <v/>
      </c>
      <c r="F864" s="408" t="str">
        <f t="shared" si="11"/>
        <v/>
      </c>
      <c r="G864" s="408" t="str">
        <f t="shared" si="12"/>
        <v/>
      </c>
      <c r="H864" s="410">
        <f>IF(K864&gt;='Pro Forma Detail'!D$66,'Pro Forma Detail'!D$67,'Debt ReFi'!$B$5)</f>
        <v>0.0275</v>
      </c>
      <c r="I864" s="1" t="str">
        <f t="shared" si="1"/>
        <v/>
      </c>
      <c r="J864" s="406">
        <f t="shared" si="13"/>
        <v>71590</v>
      </c>
      <c r="K864" s="105">
        <f t="shared" si="9"/>
        <v>76</v>
      </c>
      <c r="L864" s="411" t="str">
        <f t="shared" si="10"/>
        <v/>
      </c>
      <c r="M864" s="407" t="str">
        <f t="shared" si="2"/>
        <v/>
      </c>
      <c r="N864" s="407">
        <f t="shared" si="3"/>
        <v>0</v>
      </c>
      <c r="O864" s="407" t="str">
        <f t="shared" si="4"/>
        <v/>
      </c>
      <c r="P864" s="1"/>
    </row>
    <row r="865" ht="12.75" customHeight="1">
      <c r="A865" s="1">
        <v>854.0</v>
      </c>
      <c r="B865" s="408" t="str">
        <f t="shared" si="5"/>
        <v/>
      </c>
      <c r="C865" s="408">
        <f t="shared" si="6"/>
        <v>0</v>
      </c>
      <c r="D865" s="408" t="str">
        <f t="shared" si="7"/>
        <v/>
      </c>
      <c r="E865" s="176" t="str">
        <f t="shared" si="8"/>
        <v/>
      </c>
      <c r="F865" s="408" t="str">
        <f t="shared" si="11"/>
        <v/>
      </c>
      <c r="G865" s="408" t="str">
        <f t="shared" si="12"/>
        <v/>
      </c>
      <c r="H865" s="410">
        <f>IF(K865&gt;='Pro Forma Detail'!D$66,'Pro Forma Detail'!D$67,'Debt ReFi'!$B$5)</f>
        <v>0.0275</v>
      </c>
      <c r="I865" s="1" t="str">
        <f t="shared" si="1"/>
        <v/>
      </c>
      <c r="J865" s="406">
        <f t="shared" si="13"/>
        <v>71621</v>
      </c>
      <c r="K865" s="105">
        <f t="shared" si="9"/>
        <v>76</v>
      </c>
      <c r="L865" s="411" t="str">
        <f t="shared" si="10"/>
        <v/>
      </c>
      <c r="M865" s="407" t="str">
        <f t="shared" si="2"/>
        <v/>
      </c>
      <c r="N865" s="407">
        <f t="shared" si="3"/>
        <v>0</v>
      </c>
      <c r="O865" s="407" t="str">
        <f t="shared" si="4"/>
        <v/>
      </c>
      <c r="P865" s="1"/>
    </row>
    <row r="866" ht="12.75" customHeight="1">
      <c r="A866" s="1">
        <v>855.0</v>
      </c>
      <c r="B866" s="408" t="str">
        <f t="shared" si="5"/>
        <v/>
      </c>
      <c r="C866" s="408">
        <f t="shared" si="6"/>
        <v>0</v>
      </c>
      <c r="D866" s="408" t="str">
        <f t="shared" si="7"/>
        <v/>
      </c>
      <c r="E866" s="176" t="str">
        <f t="shared" si="8"/>
        <v/>
      </c>
      <c r="F866" s="408" t="str">
        <f t="shared" si="11"/>
        <v/>
      </c>
      <c r="G866" s="408" t="str">
        <f t="shared" si="12"/>
        <v/>
      </c>
      <c r="H866" s="410">
        <f>IF(K866&gt;='Pro Forma Detail'!D$66,'Pro Forma Detail'!D$67,'Debt ReFi'!$B$5)</f>
        <v>0.0275</v>
      </c>
      <c r="I866" s="1" t="str">
        <f t="shared" si="1"/>
        <v/>
      </c>
      <c r="J866" s="406">
        <f t="shared" si="13"/>
        <v>71650</v>
      </c>
      <c r="K866" s="105">
        <f t="shared" si="9"/>
        <v>76</v>
      </c>
      <c r="L866" s="411" t="str">
        <f t="shared" si="10"/>
        <v/>
      </c>
      <c r="M866" s="407" t="str">
        <f t="shared" si="2"/>
        <v/>
      </c>
      <c r="N866" s="407">
        <f t="shared" si="3"/>
        <v>0</v>
      </c>
      <c r="O866" s="407" t="str">
        <f t="shared" si="4"/>
        <v/>
      </c>
      <c r="P866" s="1"/>
    </row>
    <row r="867" ht="12.75" customHeight="1">
      <c r="A867" s="1">
        <v>856.0</v>
      </c>
      <c r="B867" s="408" t="str">
        <f t="shared" si="5"/>
        <v/>
      </c>
      <c r="C867" s="408">
        <f t="shared" si="6"/>
        <v>0</v>
      </c>
      <c r="D867" s="408" t="str">
        <f t="shared" si="7"/>
        <v/>
      </c>
      <c r="E867" s="176" t="str">
        <f t="shared" si="8"/>
        <v/>
      </c>
      <c r="F867" s="408" t="str">
        <f t="shared" si="11"/>
        <v/>
      </c>
      <c r="G867" s="408" t="str">
        <f t="shared" si="12"/>
        <v/>
      </c>
      <c r="H867" s="410">
        <f>IF(K867&gt;='Pro Forma Detail'!D$66,'Pro Forma Detail'!D$67,'Debt ReFi'!$B$5)</f>
        <v>0.0275</v>
      </c>
      <c r="I867" s="1" t="str">
        <f t="shared" si="1"/>
        <v/>
      </c>
      <c r="J867" s="406">
        <f t="shared" si="13"/>
        <v>71681</v>
      </c>
      <c r="K867" s="105">
        <f t="shared" si="9"/>
        <v>76</v>
      </c>
      <c r="L867" s="411" t="str">
        <f t="shared" si="10"/>
        <v/>
      </c>
      <c r="M867" s="407" t="str">
        <f t="shared" si="2"/>
        <v/>
      </c>
      <c r="N867" s="407">
        <f t="shared" si="3"/>
        <v>0</v>
      </c>
      <c r="O867" s="407" t="str">
        <f t="shared" si="4"/>
        <v/>
      </c>
      <c r="P867" s="1"/>
    </row>
    <row r="868" ht="12.75" customHeight="1">
      <c r="A868" s="1">
        <v>857.0</v>
      </c>
      <c r="B868" s="408" t="str">
        <f t="shared" si="5"/>
        <v/>
      </c>
      <c r="C868" s="408">
        <f t="shared" si="6"/>
        <v>0</v>
      </c>
      <c r="D868" s="408" t="str">
        <f t="shared" si="7"/>
        <v/>
      </c>
      <c r="E868" s="176" t="str">
        <f t="shared" si="8"/>
        <v/>
      </c>
      <c r="F868" s="408" t="str">
        <f t="shared" si="11"/>
        <v/>
      </c>
      <c r="G868" s="408" t="str">
        <f t="shared" si="12"/>
        <v/>
      </c>
      <c r="H868" s="410">
        <f>IF(K868&gt;='Pro Forma Detail'!D$66,'Pro Forma Detail'!D$67,'Debt ReFi'!$B$5)</f>
        <v>0.0275</v>
      </c>
      <c r="I868" s="1" t="str">
        <f t="shared" si="1"/>
        <v/>
      </c>
      <c r="J868" s="406">
        <f t="shared" si="13"/>
        <v>71711</v>
      </c>
      <c r="K868" s="105">
        <f t="shared" si="9"/>
        <v>76</v>
      </c>
      <c r="L868" s="411" t="str">
        <f t="shared" si="10"/>
        <v/>
      </c>
      <c r="M868" s="407" t="str">
        <f t="shared" si="2"/>
        <v/>
      </c>
      <c r="N868" s="407">
        <f t="shared" si="3"/>
        <v>0</v>
      </c>
      <c r="O868" s="407" t="str">
        <f t="shared" si="4"/>
        <v/>
      </c>
      <c r="P868" s="1"/>
    </row>
    <row r="869" ht="12.75" customHeight="1">
      <c r="A869" s="1">
        <v>858.0</v>
      </c>
      <c r="B869" s="408" t="str">
        <f t="shared" si="5"/>
        <v/>
      </c>
      <c r="C869" s="408">
        <f t="shared" si="6"/>
        <v>0</v>
      </c>
      <c r="D869" s="408" t="str">
        <f t="shared" si="7"/>
        <v/>
      </c>
      <c r="E869" s="176" t="str">
        <f t="shared" si="8"/>
        <v/>
      </c>
      <c r="F869" s="408" t="str">
        <f t="shared" si="11"/>
        <v/>
      </c>
      <c r="G869" s="408" t="str">
        <f t="shared" si="12"/>
        <v/>
      </c>
      <c r="H869" s="410">
        <f>IF(K869&gt;='Pro Forma Detail'!D$66,'Pro Forma Detail'!D$67,'Debt ReFi'!$B$5)</f>
        <v>0.0275</v>
      </c>
      <c r="I869" s="1" t="str">
        <f t="shared" si="1"/>
        <v/>
      </c>
      <c r="J869" s="406">
        <f t="shared" si="13"/>
        <v>71742</v>
      </c>
      <c r="K869" s="105">
        <f t="shared" si="9"/>
        <v>76</v>
      </c>
      <c r="L869" s="411" t="str">
        <f t="shared" si="10"/>
        <v/>
      </c>
      <c r="M869" s="407" t="str">
        <f t="shared" si="2"/>
        <v/>
      </c>
      <c r="N869" s="407">
        <f t="shared" si="3"/>
        <v>0</v>
      </c>
      <c r="O869" s="407" t="str">
        <f t="shared" si="4"/>
        <v/>
      </c>
      <c r="P869" s="1"/>
    </row>
    <row r="870" ht="12.75" customHeight="1">
      <c r="A870" s="1">
        <v>859.0</v>
      </c>
      <c r="B870" s="408" t="str">
        <f t="shared" si="5"/>
        <v/>
      </c>
      <c r="C870" s="408">
        <f t="shared" si="6"/>
        <v>0</v>
      </c>
      <c r="D870" s="408" t="str">
        <f t="shared" si="7"/>
        <v/>
      </c>
      <c r="E870" s="176" t="str">
        <f t="shared" si="8"/>
        <v/>
      </c>
      <c r="F870" s="408" t="str">
        <f t="shared" si="11"/>
        <v/>
      </c>
      <c r="G870" s="408" t="str">
        <f t="shared" si="12"/>
        <v/>
      </c>
      <c r="H870" s="410">
        <f>IF(K870&gt;='Pro Forma Detail'!D$66,'Pro Forma Detail'!D$67,'Debt ReFi'!$B$5)</f>
        <v>0.0275</v>
      </c>
      <c r="I870" s="1" t="str">
        <f t="shared" si="1"/>
        <v/>
      </c>
      <c r="J870" s="406">
        <f t="shared" si="13"/>
        <v>71772</v>
      </c>
      <c r="K870" s="105">
        <f t="shared" si="9"/>
        <v>76</v>
      </c>
      <c r="L870" s="411" t="str">
        <f t="shared" si="10"/>
        <v/>
      </c>
      <c r="M870" s="407" t="str">
        <f t="shared" si="2"/>
        <v/>
      </c>
      <c r="N870" s="407">
        <f t="shared" si="3"/>
        <v>0</v>
      </c>
      <c r="O870" s="407" t="str">
        <f t="shared" si="4"/>
        <v/>
      </c>
      <c r="P870" s="1"/>
    </row>
    <row r="871" ht="12.75" customHeight="1">
      <c r="A871" s="1">
        <v>860.0</v>
      </c>
      <c r="B871" s="408" t="str">
        <f t="shared" si="5"/>
        <v/>
      </c>
      <c r="C871" s="408">
        <f t="shared" si="6"/>
        <v>0</v>
      </c>
      <c r="D871" s="408" t="str">
        <f t="shared" si="7"/>
        <v/>
      </c>
      <c r="E871" s="176" t="str">
        <f t="shared" si="8"/>
        <v/>
      </c>
      <c r="F871" s="408" t="str">
        <f t="shared" si="11"/>
        <v/>
      </c>
      <c r="G871" s="408" t="str">
        <f t="shared" si="12"/>
        <v/>
      </c>
      <c r="H871" s="410">
        <f>IF(K871&gt;='Pro Forma Detail'!D$66,'Pro Forma Detail'!D$67,'Debt ReFi'!$B$5)</f>
        <v>0.0275</v>
      </c>
      <c r="I871" s="1" t="str">
        <f t="shared" si="1"/>
        <v/>
      </c>
      <c r="J871" s="406">
        <f t="shared" si="13"/>
        <v>71803</v>
      </c>
      <c r="K871" s="105">
        <f t="shared" si="9"/>
        <v>76</v>
      </c>
      <c r="L871" s="411" t="str">
        <f t="shared" si="10"/>
        <v/>
      </c>
      <c r="M871" s="407" t="str">
        <f t="shared" si="2"/>
        <v/>
      </c>
      <c r="N871" s="407">
        <f t="shared" si="3"/>
        <v>0</v>
      </c>
      <c r="O871" s="407" t="str">
        <f t="shared" si="4"/>
        <v/>
      </c>
      <c r="P871" s="1"/>
    </row>
    <row r="872" ht="12.75" customHeight="1">
      <c r="A872" s="1">
        <v>861.0</v>
      </c>
      <c r="B872" s="408" t="str">
        <f t="shared" si="5"/>
        <v/>
      </c>
      <c r="C872" s="408">
        <f t="shared" si="6"/>
        <v>0</v>
      </c>
      <c r="D872" s="408" t="str">
        <f t="shared" si="7"/>
        <v/>
      </c>
      <c r="E872" s="176" t="str">
        <f t="shared" si="8"/>
        <v/>
      </c>
      <c r="F872" s="408" t="str">
        <f t="shared" si="11"/>
        <v/>
      </c>
      <c r="G872" s="408" t="str">
        <f t="shared" si="12"/>
        <v/>
      </c>
      <c r="H872" s="410">
        <f>IF(K872&gt;='Pro Forma Detail'!D$66,'Pro Forma Detail'!D$67,'Debt ReFi'!$B$5)</f>
        <v>0.0275</v>
      </c>
      <c r="I872" s="1" t="str">
        <f t="shared" si="1"/>
        <v/>
      </c>
      <c r="J872" s="406">
        <f t="shared" si="13"/>
        <v>71834</v>
      </c>
      <c r="K872" s="105">
        <f t="shared" si="9"/>
        <v>76</v>
      </c>
      <c r="L872" s="411" t="str">
        <f t="shared" si="10"/>
        <v/>
      </c>
      <c r="M872" s="407" t="str">
        <f t="shared" si="2"/>
        <v/>
      </c>
      <c r="N872" s="407">
        <f t="shared" si="3"/>
        <v>0</v>
      </c>
      <c r="O872" s="407" t="str">
        <f t="shared" si="4"/>
        <v/>
      </c>
      <c r="P872" s="1"/>
    </row>
    <row r="873" ht="12.75" customHeight="1">
      <c r="A873" s="1">
        <v>862.0</v>
      </c>
      <c r="B873" s="408" t="str">
        <f t="shared" si="5"/>
        <v/>
      </c>
      <c r="C873" s="408">
        <f t="shared" si="6"/>
        <v>0</v>
      </c>
      <c r="D873" s="408" t="str">
        <f t="shared" si="7"/>
        <v/>
      </c>
      <c r="E873" s="176" t="str">
        <f t="shared" si="8"/>
        <v/>
      </c>
      <c r="F873" s="408" t="str">
        <f t="shared" si="11"/>
        <v/>
      </c>
      <c r="G873" s="408" t="str">
        <f t="shared" si="12"/>
        <v/>
      </c>
      <c r="H873" s="410">
        <f>IF(K873&gt;='Pro Forma Detail'!D$66,'Pro Forma Detail'!D$67,'Debt ReFi'!$B$5)</f>
        <v>0.0275</v>
      </c>
      <c r="I873" s="1" t="str">
        <f t="shared" si="1"/>
        <v/>
      </c>
      <c r="J873" s="406">
        <f t="shared" si="13"/>
        <v>71864</v>
      </c>
      <c r="K873" s="105">
        <f t="shared" si="9"/>
        <v>76</v>
      </c>
      <c r="L873" s="411" t="str">
        <f t="shared" si="10"/>
        <v/>
      </c>
      <c r="M873" s="407" t="str">
        <f t="shared" si="2"/>
        <v/>
      </c>
      <c r="N873" s="407">
        <f t="shared" si="3"/>
        <v>0</v>
      </c>
      <c r="O873" s="407" t="str">
        <f t="shared" si="4"/>
        <v/>
      </c>
      <c r="P873" s="1"/>
    </row>
    <row r="874" ht="12.75" customHeight="1">
      <c r="A874" s="1">
        <v>863.0</v>
      </c>
      <c r="B874" s="408" t="str">
        <f t="shared" si="5"/>
        <v/>
      </c>
      <c r="C874" s="408">
        <f t="shared" si="6"/>
        <v>0</v>
      </c>
      <c r="D874" s="408" t="str">
        <f t="shared" si="7"/>
        <v/>
      </c>
      <c r="E874" s="176" t="str">
        <f t="shared" si="8"/>
        <v/>
      </c>
      <c r="F874" s="408" t="str">
        <f t="shared" si="11"/>
        <v/>
      </c>
      <c r="G874" s="408" t="str">
        <f t="shared" si="12"/>
        <v/>
      </c>
      <c r="H874" s="410">
        <f>IF(K874&gt;='Pro Forma Detail'!D$66,'Pro Forma Detail'!D$67,'Debt ReFi'!$B$5)</f>
        <v>0.0275</v>
      </c>
      <c r="I874" s="1" t="str">
        <f t="shared" si="1"/>
        <v/>
      </c>
      <c r="J874" s="406">
        <f t="shared" si="13"/>
        <v>71895</v>
      </c>
      <c r="K874" s="105">
        <f t="shared" si="9"/>
        <v>76</v>
      </c>
      <c r="L874" s="411" t="str">
        <f t="shared" si="10"/>
        <v/>
      </c>
      <c r="M874" s="407" t="str">
        <f t="shared" si="2"/>
        <v/>
      </c>
      <c r="N874" s="407">
        <f t="shared" si="3"/>
        <v>0</v>
      </c>
      <c r="O874" s="407" t="str">
        <f t="shared" si="4"/>
        <v/>
      </c>
      <c r="P874" s="1"/>
    </row>
    <row r="875" ht="12.75" customHeight="1">
      <c r="A875" s="1">
        <v>864.0</v>
      </c>
      <c r="B875" s="408" t="str">
        <f t="shared" si="5"/>
        <v/>
      </c>
      <c r="C875" s="408">
        <f t="shared" si="6"/>
        <v>0</v>
      </c>
      <c r="D875" s="408" t="str">
        <f t="shared" si="7"/>
        <v/>
      </c>
      <c r="E875" s="176" t="str">
        <f t="shared" si="8"/>
        <v/>
      </c>
      <c r="F875" s="408" t="str">
        <f t="shared" si="11"/>
        <v/>
      </c>
      <c r="G875" s="408" t="str">
        <f t="shared" si="12"/>
        <v/>
      </c>
      <c r="H875" s="410">
        <f>IF(K875&gt;='Pro Forma Detail'!D$66,'Pro Forma Detail'!D$67,'Debt ReFi'!$B$5)</f>
        <v>0.0275</v>
      </c>
      <c r="I875" s="1" t="str">
        <f t="shared" si="1"/>
        <v/>
      </c>
      <c r="J875" s="406">
        <f t="shared" si="13"/>
        <v>71925</v>
      </c>
      <c r="K875" s="105">
        <f t="shared" si="9"/>
        <v>76</v>
      </c>
      <c r="L875" s="411" t="str">
        <f t="shared" si="10"/>
        <v/>
      </c>
      <c r="M875" s="407" t="str">
        <f t="shared" si="2"/>
        <v/>
      </c>
      <c r="N875" s="407">
        <f t="shared" si="3"/>
        <v>0</v>
      </c>
      <c r="O875" s="407" t="str">
        <f t="shared" si="4"/>
        <v/>
      </c>
      <c r="P875" s="1"/>
    </row>
    <row r="876" ht="12.75" customHeight="1">
      <c r="A876" s="1">
        <v>865.0</v>
      </c>
      <c r="B876" s="408" t="str">
        <f t="shared" si="5"/>
        <v/>
      </c>
      <c r="C876" s="408">
        <f t="shared" si="6"/>
        <v>0</v>
      </c>
      <c r="D876" s="408" t="str">
        <f t="shared" si="7"/>
        <v/>
      </c>
      <c r="E876" s="176" t="str">
        <f t="shared" si="8"/>
        <v/>
      </c>
      <c r="F876" s="408" t="str">
        <f t="shared" si="11"/>
        <v/>
      </c>
      <c r="G876" s="408" t="str">
        <f t="shared" si="12"/>
        <v/>
      </c>
      <c r="H876" s="410">
        <f>IF(K876&gt;='Pro Forma Detail'!D$66,'Pro Forma Detail'!D$67,'Debt ReFi'!$B$5)</f>
        <v>0.0275</v>
      </c>
      <c r="I876" s="1" t="str">
        <f t="shared" si="1"/>
        <v/>
      </c>
      <c r="J876" s="406">
        <f t="shared" si="13"/>
        <v>71956</v>
      </c>
      <c r="K876" s="105">
        <f t="shared" si="9"/>
        <v>77</v>
      </c>
      <c r="L876" s="411" t="str">
        <f t="shared" si="10"/>
        <v/>
      </c>
      <c r="M876" s="407" t="str">
        <f t="shared" si="2"/>
        <v/>
      </c>
      <c r="N876" s="407">
        <f t="shared" si="3"/>
        <v>0</v>
      </c>
      <c r="O876" s="407" t="str">
        <f t="shared" si="4"/>
        <v/>
      </c>
      <c r="P876" s="1"/>
    </row>
    <row r="877" ht="12.75" customHeight="1">
      <c r="A877" s="1">
        <v>866.0</v>
      </c>
      <c r="B877" s="408" t="str">
        <f t="shared" si="5"/>
        <v/>
      </c>
      <c r="C877" s="408">
        <f t="shared" si="6"/>
        <v>0</v>
      </c>
      <c r="D877" s="408" t="str">
        <f t="shared" si="7"/>
        <v/>
      </c>
      <c r="E877" s="176" t="str">
        <f t="shared" si="8"/>
        <v/>
      </c>
      <c r="F877" s="408" t="str">
        <f t="shared" si="11"/>
        <v/>
      </c>
      <c r="G877" s="408" t="str">
        <f t="shared" si="12"/>
        <v/>
      </c>
      <c r="H877" s="410">
        <f>IF(K877&gt;='Pro Forma Detail'!D$66,'Pro Forma Detail'!D$67,'Debt ReFi'!$B$5)</f>
        <v>0.0275</v>
      </c>
      <c r="I877" s="1" t="str">
        <f t="shared" si="1"/>
        <v/>
      </c>
      <c r="J877" s="406">
        <f t="shared" si="13"/>
        <v>71987</v>
      </c>
      <c r="K877" s="105">
        <f t="shared" si="9"/>
        <v>77</v>
      </c>
      <c r="L877" s="411" t="str">
        <f t="shared" si="10"/>
        <v/>
      </c>
      <c r="M877" s="407" t="str">
        <f t="shared" si="2"/>
        <v/>
      </c>
      <c r="N877" s="407">
        <f t="shared" si="3"/>
        <v>0</v>
      </c>
      <c r="O877" s="407" t="str">
        <f t="shared" si="4"/>
        <v/>
      </c>
      <c r="P877" s="1"/>
    </row>
    <row r="878" ht="12.75" customHeight="1">
      <c r="A878" s="1">
        <v>867.0</v>
      </c>
      <c r="B878" s="408" t="str">
        <f t="shared" si="5"/>
        <v/>
      </c>
      <c r="C878" s="408">
        <f t="shared" si="6"/>
        <v>0</v>
      </c>
      <c r="D878" s="408" t="str">
        <f t="shared" si="7"/>
        <v/>
      </c>
      <c r="E878" s="176" t="str">
        <f t="shared" si="8"/>
        <v/>
      </c>
      <c r="F878" s="408" t="str">
        <f t="shared" si="11"/>
        <v/>
      </c>
      <c r="G878" s="408" t="str">
        <f t="shared" si="12"/>
        <v/>
      </c>
      <c r="H878" s="410">
        <f>IF(K878&gt;='Pro Forma Detail'!D$66,'Pro Forma Detail'!D$67,'Debt ReFi'!$B$5)</f>
        <v>0.0275</v>
      </c>
      <c r="I878" s="1" t="str">
        <f t="shared" si="1"/>
        <v/>
      </c>
      <c r="J878" s="406">
        <f t="shared" si="13"/>
        <v>72015</v>
      </c>
      <c r="K878" s="105">
        <f t="shared" si="9"/>
        <v>77</v>
      </c>
      <c r="L878" s="411" t="str">
        <f t="shared" si="10"/>
        <v/>
      </c>
      <c r="M878" s="407" t="str">
        <f t="shared" si="2"/>
        <v/>
      </c>
      <c r="N878" s="407">
        <f t="shared" si="3"/>
        <v>0</v>
      </c>
      <c r="O878" s="407" t="str">
        <f t="shared" si="4"/>
        <v/>
      </c>
      <c r="P878" s="1"/>
    </row>
    <row r="879" ht="12.75" customHeight="1">
      <c r="A879" s="1">
        <v>868.0</v>
      </c>
      <c r="B879" s="408" t="str">
        <f t="shared" si="5"/>
        <v/>
      </c>
      <c r="C879" s="408">
        <f t="shared" si="6"/>
        <v>0</v>
      </c>
      <c r="D879" s="408" t="str">
        <f t="shared" si="7"/>
        <v/>
      </c>
      <c r="E879" s="176" t="str">
        <f t="shared" si="8"/>
        <v/>
      </c>
      <c r="F879" s="408" t="str">
        <f t="shared" si="11"/>
        <v/>
      </c>
      <c r="G879" s="408" t="str">
        <f t="shared" si="12"/>
        <v/>
      </c>
      <c r="H879" s="410">
        <f>IF(K879&gt;='Pro Forma Detail'!D$66,'Pro Forma Detail'!D$67,'Debt ReFi'!$B$5)</f>
        <v>0.0275</v>
      </c>
      <c r="I879" s="1" t="str">
        <f t="shared" si="1"/>
        <v/>
      </c>
      <c r="J879" s="406">
        <f t="shared" si="13"/>
        <v>72046</v>
      </c>
      <c r="K879" s="105">
        <f t="shared" si="9"/>
        <v>77</v>
      </c>
      <c r="L879" s="411" t="str">
        <f t="shared" si="10"/>
        <v/>
      </c>
      <c r="M879" s="407" t="str">
        <f t="shared" si="2"/>
        <v/>
      </c>
      <c r="N879" s="407">
        <f t="shared" si="3"/>
        <v>0</v>
      </c>
      <c r="O879" s="407" t="str">
        <f t="shared" si="4"/>
        <v/>
      </c>
      <c r="P879" s="1"/>
    </row>
    <row r="880" ht="12.75" customHeight="1">
      <c r="A880" s="1">
        <v>869.0</v>
      </c>
      <c r="B880" s="408" t="str">
        <f t="shared" si="5"/>
        <v/>
      </c>
      <c r="C880" s="408">
        <f t="shared" si="6"/>
        <v>0</v>
      </c>
      <c r="D880" s="408" t="str">
        <f t="shared" si="7"/>
        <v/>
      </c>
      <c r="E880" s="176" t="str">
        <f t="shared" si="8"/>
        <v/>
      </c>
      <c r="F880" s="408" t="str">
        <f t="shared" si="11"/>
        <v/>
      </c>
      <c r="G880" s="408" t="str">
        <f t="shared" si="12"/>
        <v/>
      </c>
      <c r="H880" s="410">
        <f>IF(K880&gt;='Pro Forma Detail'!D$66,'Pro Forma Detail'!D$67,'Debt ReFi'!$B$5)</f>
        <v>0.0275</v>
      </c>
      <c r="I880" s="1" t="str">
        <f t="shared" si="1"/>
        <v/>
      </c>
      <c r="J880" s="406">
        <f t="shared" si="13"/>
        <v>72076</v>
      </c>
      <c r="K880" s="105">
        <f t="shared" si="9"/>
        <v>77</v>
      </c>
      <c r="L880" s="411" t="str">
        <f t="shared" si="10"/>
        <v/>
      </c>
      <c r="M880" s="407" t="str">
        <f t="shared" si="2"/>
        <v/>
      </c>
      <c r="N880" s="407">
        <f t="shared" si="3"/>
        <v>0</v>
      </c>
      <c r="O880" s="407" t="str">
        <f t="shared" si="4"/>
        <v/>
      </c>
      <c r="P880" s="1"/>
    </row>
    <row r="881" ht="12.75" customHeight="1">
      <c r="A881" s="1">
        <v>870.0</v>
      </c>
      <c r="B881" s="408" t="str">
        <f t="shared" si="5"/>
        <v/>
      </c>
      <c r="C881" s="408">
        <f t="shared" si="6"/>
        <v>0</v>
      </c>
      <c r="D881" s="408" t="str">
        <f t="shared" si="7"/>
        <v/>
      </c>
      <c r="E881" s="176" t="str">
        <f t="shared" si="8"/>
        <v/>
      </c>
      <c r="F881" s="408" t="str">
        <f t="shared" si="11"/>
        <v/>
      </c>
      <c r="G881" s="408" t="str">
        <f t="shared" si="12"/>
        <v/>
      </c>
      <c r="H881" s="410">
        <f>IF(K881&gt;='Pro Forma Detail'!D$66,'Pro Forma Detail'!D$67,'Debt ReFi'!$B$5)</f>
        <v>0.0275</v>
      </c>
      <c r="I881" s="1" t="str">
        <f t="shared" si="1"/>
        <v/>
      </c>
      <c r="J881" s="406">
        <f t="shared" si="13"/>
        <v>72107</v>
      </c>
      <c r="K881" s="105">
        <f t="shared" si="9"/>
        <v>77</v>
      </c>
      <c r="L881" s="411" t="str">
        <f t="shared" si="10"/>
        <v/>
      </c>
      <c r="M881" s="407" t="str">
        <f t="shared" si="2"/>
        <v/>
      </c>
      <c r="N881" s="407">
        <f t="shared" si="3"/>
        <v>0</v>
      </c>
      <c r="O881" s="407" t="str">
        <f t="shared" si="4"/>
        <v/>
      </c>
      <c r="P881" s="1"/>
    </row>
    <row r="882" ht="12.75" customHeight="1">
      <c r="A882" s="1">
        <v>871.0</v>
      </c>
      <c r="B882" s="408" t="str">
        <f t="shared" si="5"/>
        <v/>
      </c>
      <c r="C882" s="408">
        <f t="shared" si="6"/>
        <v>0</v>
      </c>
      <c r="D882" s="408" t="str">
        <f t="shared" si="7"/>
        <v/>
      </c>
      <c r="E882" s="176" t="str">
        <f t="shared" si="8"/>
        <v/>
      </c>
      <c r="F882" s="408" t="str">
        <f t="shared" si="11"/>
        <v/>
      </c>
      <c r="G882" s="408" t="str">
        <f t="shared" si="12"/>
        <v/>
      </c>
      <c r="H882" s="410">
        <f>IF(K882&gt;='Pro Forma Detail'!D$66,'Pro Forma Detail'!D$67,'Debt ReFi'!$B$5)</f>
        <v>0.0275</v>
      </c>
      <c r="I882" s="1" t="str">
        <f t="shared" si="1"/>
        <v/>
      </c>
      <c r="J882" s="406">
        <f t="shared" si="13"/>
        <v>72137</v>
      </c>
      <c r="K882" s="105">
        <f t="shared" si="9"/>
        <v>77</v>
      </c>
      <c r="L882" s="411" t="str">
        <f t="shared" si="10"/>
        <v/>
      </c>
      <c r="M882" s="407" t="str">
        <f t="shared" si="2"/>
        <v/>
      </c>
      <c r="N882" s="407">
        <f t="shared" si="3"/>
        <v>0</v>
      </c>
      <c r="O882" s="407" t="str">
        <f t="shared" si="4"/>
        <v/>
      </c>
      <c r="P882" s="1"/>
    </row>
    <row r="883" ht="12.75" customHeight="1">
      <c r="A883" s="1">
        <v>872.0</v>
      </c>
      <c r="B883" s="408" t="str">
        <f t="shared" si="5"/>
        <v/>
      </c>
      <c r="C883" s="408">
        <f t="shared" si="6"/>
        <v>0</v>
      </c>
      <c r="D883" s="408" t="str">
        <f t="shared" si="7"/>
        <v/>
      </c>
      <c r="E883" s="176" t="str">
        <f t="shared" si="8"/>
        <v/>
      </c>
      <c r="F883" s="408" t="str">
        <f t="shared" si="11"/>
        <v/>
      </c>
      <c r="G883" s="408" t="str">
        <f t="shared" si="12"/>
        <v/>
      </c>
      <c r="H883" s="410">
        <f>IF(K883&gt;='Pro Forma Detail'!D$66,'Pro Forma Detail'!D$67,'Debt ReFi'!$B$5)</f>
        <v>0.0275</v>
      </c>
      <c r="I883" s="1" t="str">
        <f t="shared" si="1"/>
        <v/>
      </c>
      <c r="J883" s="406">
        <f t="shared" si="13"/>
        <v>72168</v>
      </c>
      <c r="K883" s="105">
        <f t="shared" si="9"/>
        <v>77</v>
      </c>
      <c r="L883" s="411" t="str">
        <f t="shared" si="10"/>
        <v/>
      </c>
      <c r="M883" s="407" t="str">
        <f t="shared" si="2"/>
        <v/>
      </c>
      <c r="N883" s="407">
        <f t="shared" si="3"/>
        <v>0</v>
      </c>
      <c r="O883" s="407" t="str">
        <f t="shared" si="4"/>
        <v/>
      </c>
      <c r="P883" s="1"/>
    </row>
    <row r="884" ht="12.75" customHeight="1">
      <c r="A884" s="1">
        <v>873.0</v>
      </c>
      <c r="B884" s="408" t="str">
        <f t="shared" si="5"/>
        <v/>
      </c>
      <c r="C884" s="408">
        <f t="shared" si="6"/>
        <v>0</v>
      </c>
      <c r="D884" s="408" t="str">
        <f t="shared" si="7"/>
        <v/>
      </c>
      <c r="E884" s="176" t="str">
        <f t="shared" si="8"/>
        <v/>
      </c>
      <c r="F884" s="408" t="str">
        <f t="shared" si="11"/>
        <v/>
      </c>
      <c r="G884" s="408" t="str">
        <f t="shared" si="12"/>
        <v/>
      </c>
      <c r="H884" s="410">
        <f>IF(K884&gt;='Pro Forma Detail'!D$66,'Pro Forma Detail'!D$67,'Debt ReFi'!$B$5)</f>
        <v>0.0275</v>
      </c>
      <c r="I884" s="1" t="str">
        <f t="shared" si="1"/>
        <v/>
      </c>
      <c r="J884" s="406">
        <f t="shared" si="13"/>
        <v>72199</v>
      </c>
      <c r="K884" s="105">
        <f t="shared" si="9"/>
        <v>77</v>
      </c>
      <c r="L884" s="411" t="str">
        <f t="shared" si="10"/>
        <v/>
      </c>
      <c r="M884" s="407" t="str">
        <f t="shared" si="2"/>
        <v/>
      </c>
      <c r="N884" s="407">
        <f t="shared" si="3"/>
        <v>0</v>
      </c>
      <c r="O884" s="407" t="str">
        <f t="shared" si="4"/>
        <v/>
      </c>
      <c r="P884" s="1"/>
    </row>
    <row r="885" ht="12.75" customHeight="1">
      <c r="A885" s="1">
        <v>874.0</v>
      </c>
      <c r="B885" s="408" t="str">
        <f t="shared" si="5"/>
        <v/>
      </c>
      <c r="C885" s="408">
        <f t="shared" si="6"/>
        <v>0</v>
      </c>
      <c r="D885" s="408" t="str">
        <f t="shared" si="7"/>
        <v/>
      </c>
      <c r="E885" s="176" t="str">
        <f t="shared" si="8"/>
        <v/>
      </c>
      <c r="F885" s="408" t="str">
        <f t="shared" si="11"/>
        <v/>
      </c>
      <c r="G885" s="408" t="str">
        <f t="shared" si="12"/>
        <v/>
      </c>
      <c r="H885" s="410">
        <f>IF(K885&gt;='Pro Forma Detail'!D$66,'Pro Forma Detail'!D$67,'Debt ReFi'!$B$5)</f>
        <v>0.0275</v>
      </c>
      <c r="I885" s="1" t="str">
        <f t="shared" si="1"/>
        <v/>
      </c>
      <c r="J885" s="406">
        <f t="shared" si="13"/>
        <v>72229</v>
      </c>
      <c r="K885" s="105">
        <f t="shared" si="9"/>
        <v>77</v>
      </c>
      <c r="L885" s="411" t="str">
        <f t="shared" si="10"/>
        <v/>
      </c>
      <c r="M885" s="407" t="str">
        <f t="shared" si="2"/>
        <v/>
      </c>
      <c r="N885" s="407">
        <f t="shared" si="3"/>
        <v>0</v>
      </c>
      <c r="O885" s="407" t="str">
        <f t="shared" si="4"/>
        <v/>
      </c>
      <c r="P885" s="1"/>
    </row>
    <row r="886" ht="12.75" customHeight="1">
      <c r="A886" s="1">
        <v>875.0</v>
      </c>
      <c r="B886" s="408" t="str">
        <f t="shared" si="5"/>
        <v/>
      </c>
      <c r="C886" s="408">
        <f t="shared" si="6"/>
        <v>0</v>
      </c>
      <c r="D886" s="408" t="str">
        <f t="shared" si="7"/>
        <v/>
      </c>
      <c r="E886" s="176" t="str">
        <f t="shared" si="8"/>
        <v/>
      </c>
      <c r="F886" s="408" t="str">
        <f t="shared" si="11"/>
        <v/>
      </c>
      <c r="G886" s="408" t="str">
        <f t="shared" si="12"/>
        <v/>
      </c>
      <c r="H886" s="410">
        <f>IF(K886&gt;='Pro Forma Detail'!D$66,'Pro Forma Detail'!D$67,'Debt ReFi'!$B$5)</f>
        <v>0.0275</v>
      </c>
      <c r="I886" s="1" t="str">
        <f t="shared" si="1"/>
        <v/>
      </c>
      <c r="J886" s="406">
        <f t="shared" si="13"/>
        <v>72260</v>
      </c>
      <c r="K886" s="105">
        <f t="shared" si="9"/>
        <v>77</v>
      </c>
      <c r="L886" s="411" t="str">
        <f t="shared" si="10"/>
        <v/>
      </c>
      <c r="M886" s="407" t="str">
        <f t="shared" si="2"/>
        <v/>
      </c>
      <c r="N886" s="407">
        <f t="shared" si="3"/>
        <v>0</v>
      </c>
      <c r="O886" s="407" t="str">
        <f t="shared" si="4"/>
        <v/>
      </c>
      <c r="P886" s="1"/>
    </row>
    <row r="887" ht="12.75" customHeight="1">
      <c r="A887" s="1">
        <v>876.0</v>
      </c>
      <c r="B887" s="408" t="str">
        <f t="shared" si="5"/>
        <v/>
      </c>
      <c r="C887" s="408">
        <f t="shared" si="6"/>
        <v>0</v>
      </c>
      <c r="D887" s="408" t="str">
        <f t="shared" si="7"/>
        <v/>
      </c>
      <c r="E887" s="176" t="str">
        <f t="shared" si="8"/>
        <v/>
      </c>
      <c r="F887" s="408" t="str">
        <f t="shared" si="11"/>
        <v/>
      </c>
      <c r="G887" s="408" t="str">
        <f t="shared" si="12"/>
        <v/>
      </c>
      <c r="H887" s="410">
        <f>IF(K887&gt;='Pro Forma Detail'!D$66,'Pro Forma Detail'!D$67,'Debt ReFi'!$B$5)</f>
        <v>0.0275</v>
      </c>
      <c r="I887" s="1" t="str">
        <f t="shared" si="1"/>
        <v/>
      </c>
      <c r="J887" s="406">
        <f t="shared" si="13"/>
        <v>72290</v>
      </c>
      <c r="K887" s="105">
        <f t="shared" si="9"/>
        <v>77</v>
      </c>
      <c r="L887" s="411" t="str">
        <f t="shared" si="10"/>
        <v/>
      </c>
      <c r="M887" s="407" t="str">
        <f t="shared" si="2"/>
        <v/>
      </c>
      <c r="N887" s="407">
        <f t="shared" si="3"/>
        <v>0</v>
      </c>
      <c r="O887" s="407" t="str">
        <f t="shared" si="4"/>
        <v/>
      </c>
      <c r="P887" s="1"/>
    </row>
    <row r="888" ht="12.75" customHeight="1">
      <c r="A888" s="1">
        <v>877.0</v>
      </c>
      <c r="B888" s="408" t="str">
        <f t="shared" si="5"/>
        <v/>
      </c>
      <c r="C888" s="408">
        <f t="shared" si="6"/>
        <v>0</v>
      </c>
      <c r="D888" s="408" t="str">
        <f t="shared" si="7"/>
        <v/>
      </c>
      <c r="E888" s="176" t="str">
        <f t="shared" si="8"/>
        <v/>
      </c>
      <c r="F888" s="408" t="str">
        <f t="shared" si="11"/>
        <v/>
      </c>
      <c r="G888" s="408" t="str">
        <f t="shared" si="12"/>
        <v/>
      </c>
      <c r="H888" s="410">
        <f>IF(K888&gt;='Pro Forma Detail'!D$66,'Pro Forma Detail'!D$67,'Debt ReFi'!$B$5)</f>
        <v>0.0275</v>
      </c>
      <c r="I888" s="1" t="str">
        <f t="shared" si="1"/>
        <v/>
      </c>
      <c r="J888" s="406">
        <f t="shared" si="13"/>
        <v>72321</v>
      </c>
      <c r="K888" s="105">
        <f t="shared" si="9"/>
        <v>78</v>
      </c>
      <c r="L888" s="411" t="str">
        <f t="shared" si="10"/>
        <v/>
      </c>
      <c r="M888" s="407" t="str">
        <f t="shared" si="2"/>
        <v/>
      </c>
      <c r="N888" s="407">
        <f t="shared" si="3"/>
        <v>0</v>
      </c>
      <c r="O888" s="407" t="str">
        <f t="shared" si="4"/>
        <v/>
      </c>
      <c r="P888" s="1"/>
    </row>
    <row r="889" ht="12.75" customHeight="1">
      <c r="A889" s="1">
        <v>878.0</v>
      </c>
      <c r="B889" s="408" t="str">
        <f t="shared" si="5"/>
        <v/>
      </c>
      <c r="C889" s="408">
        <f t="shared" si="6"/>
        <v>0</v>
      </c>
      <c r="D889" s="408" t="str">
        <f t="shared" si="7"/>
        <v/>
      </c>
      <c r="E889" s="176" t="str">
        <f t="shared" si="8"/>
        <v/>
      </c>
      <c r="F889" s="408" t="str">
        <f t="shared" si="11"/>
        <v/>
      </c>
      <c r="G889" s="408" t="str">
        <f t="shared" si="12"/>
        <v/>
      </c>
      <c r="H889" s="410">
        <f>IF(K889&gt;='Pro Forma Detail'!D$66,'Pro Forma Detail'!D$67,'Debt ReFi'!$B$5)</f>
        <v>0.0275</v>
      </c>
      <c r="I889" s="1" t="str">
        <f t="shared" si="1"/>
        <v/>
      </c>
      <c r="J889" s="406">
        <f t="shared" si="13"/>
        <v>72352</v>
      </c>
      <c r="K889" s="105">
        <f t="shared" si="9"/>
        <v>78</v>
      </c>
      <c r="L889" s="411" t="str">
        <f t="shared" si="10"/>
        <v/>
      </c>
      <c r="M889" s="407" t="str">
        <f t="shared" si="2"/>
        <v/>
      </c>
      <c r="N889" s="407">
        <f t="shared" si="3"/>
        <v>0</v>
      </c>
      <c r="O889" s="407" t="str">
        <f t="shared" si="4"/>
        <v/>
      </c>
      <c r="P889" s="1"/>
    </row>
    <row r="890" ht="12.75" customHeight="1">
      <c r="A890" s="1">
        <v>879.0</v>
      </c>
      <c r="B890" s="408" t="str">
        <f t="shared" si="5"/>
        <v/>
      </c>
      <c r="C890" s="408">
        <f t="shared" si="6"/>
        <v>0</v>
      </c>
      <c r="D890" s="408" t="str">
        <f t="shared" si="7"/>
        <v/>
      </c>
      <c r="E890" s="176" t="str">
        <f t="shared" si="8"/>
        <v/>
      </c>
      <c r="F890" s="408" t="str">
        <f t="shared" si="11"/>
        <v/>
      </c>
      <c r="G890" s="408" t="str">
        <f t="shared" si="12"/>
        <v/>
      </c>
      <c r="H890" s="410">
        <f>IF(K890&gt;='Pro Forma Detail'!D$66,'Pro Forma Detail'!D$67,'Debt ReFi'!$B$5)</f>
        <v>0.0275</v>
      </c>
      <c r="I890" s="1" t="str">
        <f t="shared" si="1"/>
        <v/>
      </c>
      <c r="J890" s="406">
        <f t="shared" si="13"/>
        <v>72380</v>
      </c>
      <c r="K890" s="105">
        <f t="shared" si="9"/>
        <v>78</v>
      </c>
      <c r="L890" s="411" t="str">
        <f t="shared" si="10"/>
        <v/>
      </c>
      <c r="M890" s="407" t="str">
        <f t="shared" si="2"/>
        <v/>
      </c>
      <c r="N890" s="407">
        <f t="shared" si="3"/>
        <v>0</v>
      </c>
      <c r="O890" s="407" t="str">
        <f t="shared" si="4"/>
        <v/>
      </c>
      <c r="P890" s="1"/>
    </row>
    <row r="891" ht="12.75" customHeight="1">
      <c r="A891" s="1">
        <v>880.0</v>
      </c>
      <c r="B891" s="408" t="str">
        <f t="shared" si="5"/>
        <v/>
      </c>
      <c r="C891" s="408">
        <f t="shared" si="6"/>
        <v>0</v>
      </c>
      <c r="D891" s="408" t="str">
        <f t="shared" si="7"/>
        <v/>
      </c>
      <c r="E891" s="176" t="str">
        <f t="shared" si="8"/>
        <v/>
      </c>
      <c r="F891" s="408" t="str">
        <f t="shared" si="11"/>
        <v/>
      </c>
      <c r="G891" s="408" t="str">
        <f t="shared" si="12"/>
        <v/>
      </c>
      <c r="H891" s="410">
        <f>IF(K891&gt;='Pro Forma Detail'!D$66,'Pro Forma Detail'!D$67,'Debt ReFi'!$B$5)</f>
        <v>0.0275</v>
      </c>
      <c r="I891" s="1" t="str">
        <f t="shared" si="1"/>
        <v/>
      </c>
      <c r="J891" s="406">
        <f t="shared" si="13"/>
        <v>72411</v>
      </c>
      <c r="K891" s="105">
        <f t="shared" si="9"/>
        <v>78</v>
      </c>
      <c r="L891" s="411" t="str">
        <f t="shared" si="10"/>
        <v/>
      </c>
      <c r="M891" s="407" t="str">
        <f t="shared" si="2"/>
        <v/>
      </c>
      <c r="N891" s="407">
        <f t="shared" si="3"/>
        <v>0</v>
      </c>
      <c r="O891" s="407" t="str">
        <f t="shared" si="4"/>
        <v/>
      </c>
      <c r="P891" s="1"/>
    </row>
    <row r="892" ht="12.75" customHeight="1">
      <c r="A892" s="1">
        <v>881.0</v>
      </c>
      <c r="B892" s="408" t="str">
        <f t="shared" si="5"/>
        <v/>
      </c>
      <c r="C892" s="408">
        <f t="shared" si="6"/>
        <v>0</v>
      </c>
      <c r="D892" s="408" t="str">
        <f t="shared" si="7"/>
        <v/>
      </c>
      <c r="E892" s="176" t="str">
        <f t="shared" si="8"/>
        <v/>
      </c>
      <c r="F892" s="408" t="str">
        <f t="shared" si="11"/>
        <v/>
      </c>
      <c r="G892" s="408" t="str">
        <f t="shared" si="12"/>
        <v/>
      </c>
      <c r="H892" s="410">
        <f>IF(K892&gt;='Pro Forma Detail'!D$66,'Pro Forma Detail'!D$67,'Debt ReFi'!$B$5)</f>
        <v>0.0275</v>
      </c>
      <c r="I892" s="1" t="str">
        <f t="shared" si="1"/>
        <v/>
      </c>
      <c r="J892" s="406">
        <f t="shared" si="13"/>
        <v>72441</v>
      </c>
      <c r="K892" s="105">
        <f t="shared" si="9"/>
        <v>78</v>
      </c>
      <c r="L892" s="411" t="str">
        <f t="shared" si="10"/>
        <v/>
      </c>
      <c r="M892" s="407" t="str">
        <f t="shared" si="2"/>
        <v/>
      </c>
      <c r="N892" s="407">
        <f t="shared" si="3"/>
        <v>0</v>
      </c>
      <c r="O892" s="407" t="str">
        <f t="shared" si="4"/>
        <v/>
      </c>
      <c r="P892" s="1"/>
    </row>
    <row r="893" ht="12.75" customHeight="1">
      <c r="A893" s="1">
        <v>882.0</v>
      </c>
      <c r="B893" s="408" t="str">
        <f t="shared" si="5"/>
        <v/>
      </c>
      <c r="C893" s="408">
        <f t="shared" si="6"/>
        <v>0</v>
      </c>
      <c r="D893" s="408" t="str">
        <f t="shared" si="7"/>
        <v/>
      </c>
      <c r="E893" s="176" t="str">
        <f t="shared" si="8"/>
        <v/>
      </c>
      <c r="F893" s="408" t="str">
        <f t="shared" si="11"/>
        <v/>
      </c>
      <c r="G893" s="408" t="str">
        <f t="shared" si="12"/>
        <v/>
      </c>
      <c r="H893" s="410">
        <f>IF(K893&gt;='Pro Forma Detail'!D$66,'Pro Forma Detail'!D$67,'Debt ReFi'!$B$5)</f>
        <v>0.0275</v>
      </c>
      <c r="I893" s="1" t="str">
        <f t="shared" si="1"/>
        <v/>
      </c>
      <c r="J893" s="406">
        <f t="shared" si="13"/>
        <v>72472</v>
      </c>
      <c r="K893" s="105">
        <f t="shared" si="9"/>
        <v>78</v>
      </c>
      <c r="L893" s="411" t="str">
        <f t="shared" si="10"/>
        <v/>
      </c>
      <c r="M893" s="407" t="str">
        <f t="shared" si="2"/>
        <v/>
      </c>
      <c r="N893" s="407">
        <f t="shared" si="3"/>
        <v>0</v>
      </c>
      <c r="O893" s="407" t="str">
        <f t="shared" si="4"/>
        <v/>
      </c>
      <c r="P893" s="1"/>
    </row>
    <row r="894" ht="12.75" customHeight="1">
      <c r="A894" s="1">
        <v>883.0</v>
      </c>
      <c r="B894" s="408" t="str">
        <f t="shared" si="5"/>
        <v/>
      </c>
      <c r="C894" s="408">
        <f t="shared" si="6"/>
        <v>0</v>
      </c>
      <c r="D894" s="408" t="str">
        <f t="shared" si="7"/>
        <v/>
      </c>
      <c r="E894" s="176" t="str">
        <f t="shared" si="8"/>
        <v/>
      </c>
      <c r="F894" s="408" t="str">
        <f t="shared" si="11"/>
        <v/>
      </c>
      <c r="G894" s="408" t="str">
        <f t="shared" si="12"/>
        <v/>
      </c>
      <c r="H894" s="410">
        <f>IF(K894&gt;='Pro Forma Detail'!D$66,'Pro Forma Detail'!D$67,'Debt ReFi'!$B$5)</f>
        <v>0.0275</v>
      </c>
      <c r="I894" s="1" t="str">
        <f t="shared" si="1"/>
        <v/>
      </c>
      <c r="J894" s="406">
        <f t="shared" si="13"/>
        <v>72502</v>
      </c>
      <c r="K894" s="105">
        <f t="shared" si="9"/>
        <v>78</v>
      </c>
      <c r="L894" s="411" t="str">
        <f t="shared" si="10"/>
        <v/>
      </c>
      <c r="M894" s="407" t="str">
        <f t="shared" si="2"/>
        <v/>
      </c>
      <c r="N894" s="407">
        <f t="shared" si="3"/>
        <v>0</v>
      </c>
      <c r="O894" s="407" t="str">
        <f t="shared" si="4"/>
        <v/>
      </c>
      <c r="P894" s="1"/>
    </row>
    <row r="895" ht="12.75" customHeight="1">
      <c r="A895" s="1">
        <v>884.0</v>
      </c>
      <c r="B895" s="408" t="str">
        <f t="shared" si="5"/>
        <v/>
      </c>
      <c r="C895" s="408">
        <f t="shared" si="6"/>
        <v>0</v>
      </c>
      <c r="D895" s="408" t="str">
        <f t="shared" si="7"/>
        <v/>
      </c>
      <c r="E895" s="176" t="str">
        <f t="shared" si="8"/>
        <v/>
      </c>
      <c r="F895" s="408" t="str">
        <f t="shared" si="11"/>
        <v/>
      </c>
      <c r="G895" s="408" t="str">
        <f t="shared" si="12"/>
        <v/>
      </c>
      <c r="H895" s="410">
        <f>IF(K895&gt;='Pro Forma Detail'!D$66,'Pro Forma Detail'!D$67,'Debt ReFi'!$B$5)</f>
        <v>0.0275</v>
      </c>
      <c r="I895" s="1" t="str">
        <f t="shared" si="1"/>
        <v/>
      </c>
      <c r="J895" s="406">
        <f t="shared" si="13"/>
        <v>72533</v>
      </c>
      <c r="K895" s="105">
        <f t="shared" si="9"/>
        <v>78</v>
      </c>
      <c r="L895" s="411" t="str">
        <f t="shared" si="10"/>
        <v/>
      </c>
      <c r="M895" s="407" t="str">
        <f t="shared" si="2"/>
        <v/>
      </c>
      <c r="N895" s="407">
        <f t="shared" si="3"/>
        <v>0</v>
      </c>
      <c r="O895" s="407" t="str">
        <f t="shared" si="4"/>
        <v/>
      </c>
      <c r="P895" s="1"/>
    </row>
    <row r="896" ht="12.75" customHeight="1">
      <c r="A896" s="1">
        <v>885.0</v>
      </c>
      <c r="B896" s="408" t="str">
        <f t="shared" si="5"/>
        <v/>
      </c>
      <c r="C896" s="408">
        <f t="shared" si="6"/>
        <v>0</v>
      </c>
      <c r="D896" s="408" t="str">
        <f t="shared" si="7"/>
        <v/>
      </c>
      <c r="E896" s="176" t="str">
        <f t="shared" si="8"/>
        <v/>
      </c>
      <c r="F896" s="408" t="str">
        <f t="shared" si="11"/>
        <v/>
      </c>
      <c r="G896" s="408" t="str">
        <f t="shared" si="12"/>
        <v/>
      </c>
      <c r="H896" s="410">
        <f>IF(K896&gt;='Pro Forma Detail'!D$66,'Pro Forma Detail'!D$67,'Debt ReFi'!$B$5)</f>
        <v>0.0275</v>
      </c>
      <c r="I896" s="1" t="str">
        <f t="shared" si="1"/>
        <v/>
      </c>
      <c r="J896" s="406">
        <f t="shared" si="13"/>
        <v>72564</v>
      </c>
      <c r="K896" s="105">
        <f t="shared" si="9"/>
        <v>78</v>
      </c>
      <c r="L896" s="411" t="str">
        <f t="shared" si="10"/>
        <v/>
      </c>
      <c r="M896" s="407" t="str">
        <f t="shared" si="2"/>
        <v/>
      </c>
      <c r="N896" s="407">
        <f t="shared" si="3"/>
        <v>0</v>
      </c>
      <c r="O896" s="407" t="str">
        <f t="shared" si="4"/>
        <v/>
      </c>
      <c r="P896" s="1"/>
    </row>
    <row r="897" ht="12.75" customHeight="1">
      <c r="A897" s="1">
        <v>886.0</v>
      </c>
      <c r="B897" s="408" t="str">
        <f t="shared" si="5"/>
        <v/>
      </c>
      <c r="C897" s="408">
        <f t="shared" si="6"/>
        <v>0</v>
      </c>
      <c r="D897" s="408" t="str">
        <f t="shared" si="7"/>
        <v/>
      </c>
      <c r="E897" s="176" t="str">
        <f t="shared" si="8"/>
        <v/>
      </c>
      <c r="F897" s="408" t="str">
        <f t="shared" si="11"/>
        <v/>
      </c>
      <c r="G897" s="408" t="str">
        <f t="shared" si="12"/>
        <v/>
      </c>
      <c r="H897" s="410">
        <f>IF(K897&gt;='Pro Forma Detail'!D$66,'Pro Forma Detail'!D$67,'Debt ReFi'!$B$5)</f>
        <v>0.0275</v>
      </c>
      <c r="I897" s="1" t="str">
        <f t="shared" si="1"/>
        <v/>
      </c>
      <c r="J897" s="406">
        <f t="shared" si="13"/>
        <v>72594</v>
      </c>
      <c r="K897" s="105">
        <f t="shared" si="9"/>
        <v>78</v>
      </c>
      <c r="L897" s="411" t="str">
        <f t="shared" si="10"/>
        <v/>
      </c>
      <c r="M897" s="407" t="str">
        <f t="shared" si="2"/>
        <v/>
      </c>
      <c r="N897" s="407">
        <f t="shared" si="3"/>
        <v>0</v>
      </c>
      <c r="O897" s="407" t="str">
        <f t="shared" si="4"/>
        <v/>
      </c>
      <c r="P897" s="1"/>
    </row>
    <row r="898" ht="12.75" customHeight="1">
      <c r="A898" s="1">
        <v>887.0</v>
      </c>
      <c r="B898" s="408" t="str">
        <f t="shared" si="5"/>
        <v/>
      </c>
      <c r="C898" s="408">
        <f t="shared" si="6"/>
        <v>0</v>
      </c>
      <c r="D898" s="408" t="str">
        <f t="shared" si="7"/>
        <v/>
      </c>
      <c r="E898" s="176" t="str">
        <f t="shared" si="8"/>
        <v/>
      </c>
      <c r="F898" s="408" t="str">
        <f t="shared" si="11"/>
        <v/>
      </c>
      <c r="G898" s="408" t="str">
        <f t="shared" si="12"/>
        <v/>
      </c>
      <c r="H898" s="410">
        <f>IF(K898&gt;='Pro Forma Detail'!D$66,'Pro Forma Detail'!D$67,'Debt ReFi'!$B$5)</f>
        <v>0.0275</v>
      </c>
      <c r="I898" s="1" t="str">
        <f t="shared" si="1"/>
        <v/>
      </c>
      <c r="J898" s="406">
        <f t="shared" si="13"/>
        <v>72625</v>
      </c>
      <c r="K898" s="105">
        <f t="shared" si="9"/>
        <v>78</v>
      </c>
      <c r="L898" s="411" t="str">
        <f t="shared" si="10"/>
        <v/>
      </c>
      <c r="M898" s="407" t="str">
        <f t="shared" si="2"/>
        <v/>
      </c>
      <c r="N898" s="407">
        <f t="shared" si="3"/>
        <v>0</v>
      </c>
      <c r="O898" s="407" t="str">
        <f t="shared" si="4"/>
        <v/>
      </c>
      <c r="P898" s="1"/>
    </row>
    <row r="899" ht="12.75" customHeight="1">
      <c r="A899" s="1">
        <v>888.0</v>
      </c>
      <c r="B899" s="408" t="str">
        <f t="shared" si="5"/>
        <v/>
      </c>
      <c r="C899" s="408">
        <f t="shared" si="6"/>
        <v>0</v>
      </c>
      <c r="D899" s="408" t="str">
        <f t="shared" si="7"/>
        <v/>
      </c>
      <c r="E899" s="176" t="str">
        <f t="shared" si="8"/>
        <v/>
      </c>
      <c r="F899" s="408" t="str">
        <f t="shared" si="11"/>
        <v/>
      </c>
      <c r="G899" s="408" t="str">
        <f t="shared" si="12"/>
        <v/>
      </c>
      <c r="H899" s="410">
        <f>IF(K899&gt;='Pro Forma Detail'!D$66,'Pro Forma Detail'!D$67,'Debt ReFi'!$B$5)</f>
        <v>0.0275</v>
      </c>
      <c r="I899" s="1" t="str">
        <f t="shared" si="1"/>
        <v/>
      </c>
      <c r="J899" s="406">
        <f t="shared" si="13"/>
        <v>72655</v>
      </c>
      <c r="K899" s="105">
        <f t="shared" si="9"/>
        <v>78</v>
      </c>
      <c r="L899" s="411" t="str">
        <f t="shared" si="10"/>
        <v/>
      </c>
      <c r="M899" s="407" t="str">
        <f t="shared" si="2"/>
        <v/>
      </c>
      <c r="N899" s="407">
        <f t="shared" si="3"/>
        <v>0</v>
      </c>
      <c r="O899" s="407" t="str">
        <f t="shared" si="4"/>
        <v/>
      </c>
      <c r="P899" s="1"/>
    </row>
    <row r="900" ht="12.75" customHeight="1">
      <c r="A900" s="1">
        <v>889.0</v>
      </c>
      <c r="B900" s="408" t="str">
        <f t="shared" si="5"/>
        <v/>
      </c>
      <c r="C900" s="408">
        <f t="shared" si="6"/>
        <v>0</v>
      </c>
      <c r="D900" s="408" t="str">
        <f t="shared" si="7"/>
        <v/>
      </c>
      <c r="E900" s="176" t="str">
        <f t="shared" si="8"/>
        <v/>
      </c>
      <c r="F900" s="408" t="str">
        <f t="shared" si="11"/>
        <v/>
      </c>
      <c r="G900" s="408" t="str">
        <f t="shared" si="12"/>
        <v/>
      </c>
      <c r="H900" s="410">
        <f>IF(K900&gt;='Pro Forma Detail'!D$66,'Pro Forma Detail'!D$67,'Debt ReFi'!$B$5)</f>
        <v>0.0275</v>
      </c>
      <c r="I900" s="1" t="str">
        <f t="shared" si="1"/>
        <v/>
      </c>
      <c r="J900" s="406">
        <f t="shared" si="13"/>
        <v>72686</v>
      </c>
      <c r="K900" s="105">
        <f t="shared" si="9"/>
        <v>79</v>
      </c>
      <c r="L900" s="411" t="str">
        <f t="shared" si="10"/>
        <v/>
      </c>
      <c r="M900" s="407" t="str">
        <f t="shared" si="2"/>
        <v/>
      </c>
      <c r="N900" s="407">
        <f t="shared" si="3"/>
        <v>0</v>
      </c>
      <c r="O900" s="407" t="str">
        <f t="shared" si="4"/>
        <v/>
      </c>
      <c r="P900" s="1"/>
    </row>
    <row r="901" ht="12.75" customHeight="1">
      <c r="A901" s="1">
        <v>890.0</v>
      </c>
      <c r="B901" s="408" t="str">
        <f t="shared" si="5"/>
        <v/>
      </c>
      <c r="C901" s="408">
        <f t="shared" si="6"/>
        <v>0</v>
      </c>
      <c r="D901" s="408" t="str">
        <f t="shared" si="7"/>
        <v/>
      </c>
      <c r="E901" s="176" t="str">
        <f t="shared" si="8"/>
        <v/>
      </c>
      <c r="F901" s="408" t="str">
        <f t="shared" si="11"/>
        <v/>
      </c>
      <c r="G901" s="408" t="str">
        <f t="shared" si="12"/>
        <v/>
      </c>
      <c r="H901" s="410">
        <f>IF(K901&gt;='Pro Forma Detail'!D$66,'Pro Forma Detail'!D$67,'Debt ReFi'!$B$5)</f>
        <v>0.0275</v>
      </c>
      <c r="I901" s="1" t="str">
        <f t="shared" si="1"/>
        <v/>
      </c>
      <c r="J901" s="406">
        <f t="shared" si="13"/>
        <v>72717</v>
      </c>
      <c r="K901" s="105">
        <f t="shared" si="9"/>
        <v>79</v>
      </c>
      <c r="L901" s="411" t="str">
        <f t="shared" si="10"/>
        <v/>
      </c>
      <c r="M901" s="407" t="str">
        <f t="shared" si="2"/>
        <v/>
      </c>
      <c r="N901" s="407">
        <f t="shared" si="3"/>
        <v>0</v>
      </c>
      <c r="O901" s="407" t="str">
        <f t="shared" si="4"/>
        <v/>
      </c>
      <c r="P901" s="1"/>
    </row>
    <row r="902" ht="12.75" customHeight="1">
      <c r="A902" s="1">
        <v>891.0</v>
      </c>
      <c r="B902" s="408" t="str">
        <f t="shared" si="5"/>
        <v/>
      </c>
      <c r="C902" s="408">
        <f t="shared" si="6"/>
        <v>0</v>
      </c>
      <c r="D902" s="408" t="str">
        <f t="shared" si="7"/>
        <v/>
      </c>
      <c r="E902" s="176" t="str">
        <f t="shared" si="8"/>
        <v/>
      </c>
      <c r="F902" s="408" t="str">
        <f t="shared" si="11"/>
        <v/>
      </c>
      <c r="G902" s="408" t="str">
        <f t="shared" si="12"/>
        <v/>
      </c>
      <c r="H902" s="410">
        <f>IF(K902&gt;='Pro Forma Detail'!D$66,'Pro Forma Detail'!D$67,'Debt ReFi'!$B$5)</f>
        <v>0.0275</v>
      </c>
      <c r="I902" s="1" t="str">
        <f t="shared" si="1"/>
        <v/>
      </c>
      <c r="J902" s="406">
        <f t="shared" si="13"/>
        <v>72745</v>
      </c>
      <c r="K902" s="105">
        <f t="shared" si="9"/>
        <v>79</v>
      </c>
      <c r="L902" s="411" t="str">
        <f t="shared" si="10"/>
        <v/>
      </c>
      <c r="M902" s="407" t="str">
        <f t="shared" si="2"/>
        <v/>
      </c>
      <c r="N902" s="407">
        <f t="shared" si="3"/>
        <v>0</v>
      </c>
      <c r="O902" s="407" t="str">
        <f t="shared" si="4"/>
        <v/>
      </c>
      <c r="P902" s="1"/>
    </row>
    <row r="903" ht="12.75" customHeight="1">
      <c r="A903" s="1">
        <v>892.0</v>
      </c>
      <c r="B903" s="408" t="str">
        <f t="shared" si="5"/>
        <v/>
      </c>
      <c r="C903" s="408">
        <f t="shared" si="6"/>
        <v>0</v>
      </c>
      <c r="D903" s="408" t="str">
        <f t="shared" si="7"/>
        <v/>
      </c>
      <c r="E903" s="176" t="str">
        <f t="shared" si="8"/>
        <v/>
      </c>
      <c r="F903" s="408" t="str">
        <f t="shared" si="11"/>
        <v/>
      </c>
      <c r="G903" s="408" t="str">
        <f t="shared" si="12"/>
        <v/>
      </c>
      <c r="H903" s="410">
        <f>IF(K903&gt;='Pro Forma Detail'!D$66,'Pro Forma Detail'!D$67,'Debt ReFi'!$B$5)</f>
        <v>0.0275</v>
      </c>
      <c r="I903" s="1" t="str">
        <f t="shared" si="1"/>
        <v/>
      </c>
      <c r="J903" s="406">
        <f t="shared" si="13"/>
        <v>72776</v>
      </c>
      <c r="K903" s="105">
        <f t="shared" si="9"/>
        <v>79</v>
      </c>
      <c r="L903" s="411" t="str">
        <f t="shared" si="10"/>
        <v/>
      </c>
      <c r="M903" s="407" t="str">
        <f t="shared" si="2"/>
        <v/>
      </c>
      <c r="N903" s="407">
        <f t="shared" si="3"/>
        <v>0</v>
      </c>
      <c r="O903" s="407" t="str">
        <f t="shared" si="4"/>
        <v/>
      </c>
      <c r="P903" s="1"/>
    </row>
    <row r="904" ht="12.75" customHeight="1">
      <c r="A904" s="1">
        <v>893.0</v>
      </c>
      <c r="B904" s="408" t="str">
        <f t="shared" si="5"/>
        <v/>
      </c>
      <c r="C904" s="408">
        <f t="shared" si="6"/>
        <v>0</v>
      </c>
      <c r="D904" s="408" t="str">
        <f t="shared" si="7"/>
        <v/>
      </c>
      <c r="E904" s="176" t="str">
        <f t="shared" si="8"/>
        <v/>
      </c>
      <c r="F904" s="408" t="str">
        <f t="shared" si="11"/>
        <v/>
      </c>
      <c r="G904" s="408" t="str">
        <f t="shared" si="12"/>
        <v/>
      </c>
      <c r="H904" s="410">
        <f>IF(K904&gt;='Pro Forma Detail'!D$66,'Pro Forma Detail'!D$67,'Debt ReFi'!$B$5)</f>
        <v>0.0275</v>
      </c>
      <c r="I904" s="1" t="str">
        <f t="shared" si="1"/>
        <v/>
      </c>
      <c r="J904" s="406">
        <f t="shared" si="13"/>
        <v>72806</v>
      </c>
      <c r="K904" s="105">
        <f t="shared" si="9"/>
        <v>79</v>
      </c>
      <c r="L904" s="411" t="str">
        <f t="shared" si="10"/>
        <v/>
      </c>
      <c r="M904" s="407" t="str">
        <f t="shared" si="2"/>
        <v/>
      </c>
      <c r="N904" s="407">
        <f t="shared" si="3"/>
        <v>0</v>
      </c>
      <c r="O904" s="407" t="str">
        <f t="shared" si="4"/>
        <v/>
      </c>
      <c r="P904" s="1"/>
    </row>
    <row r="905" ht="12.75" customHeight="1">
      <c r="A905" s="1">
        <v>894.0</v>
      </c>
      <c r="B905" s="408" t="str">
        <f t="shared" si="5"/>
        <v/>
      </c>
      <c r="C905" s="408">
        <f t="shared" si="6"/>
        <v>0</v>
      </c>
      <c r="D905" s="408" t="str">
        <f t="shared" si="7"/>
        <v/>
      </c>
      <c r="E905" s="176" t="str">
        <f t="shared" si="8"/>
        <v/>
      </c>
      <c r="F905" s="408" t="str">
        <f t="shared" si="11"/>
        <v/>
      </c>
      <c r="G905" s="408" t="str">
        <f t="shared" si="12"/>
        <v/>
      </c>
      <c r="H905" s="410">
        <f>IF(K905&gt;='Pro Forma Detail'!D$66,'Pro Forma Detail'!D$67,'Debt ReFi'!$B$5)</f>
        <v>0.0275</v>
      </c>
      <c r="I905" s="1" t="str">
        <f t="shared" si="1"/>
        <v/>
      </c>
      <c r="J905" s="406">
        <f t="shared" si="13"/>
        <v>72837</v>
      </c>
      <c r="K905" s="105">
        <f t="shared" si="9"/>
        <v>79</v>
      </c>
      <c r="L905" s="411" t="str">
        <f t="shared" si="10"/>
        <v/>
      </c>
      <c r="M905" s="407" t="str">
        <f t="shared" si="2"/>
        <v/>
      </c>
      <c r="N905" s="407">
        <f t="shared" si="3"/>
        <v>0</v>
      </c>
      <c r="O905" s="407" t="str">
        <f t="shared" si="4"/>
        <v/>
      </c>
      <c r="P905" s="1"/>
    </row>
    <row r="906" ht="12.75" customHeight="1">
      <c r="A906" s="1">
        <v>895.0</v>
      </c>
      <c r="B906" s="408" t="str">
        <f t="shared" si="5"/>
        <v/>
      </c>
      <c r="C906" s="408">
        <f t="shared" si="6"/>
        <v>0</v>
      </c>
      <c r="D906" s="408" t="str">
        <f t="shared" si="7"/>
        <v/>
      </c>
      <c r="E906" s="176" t="str">
        <f t="shared" si="8"/>
        <v/>
      </c>
      <c r="F906" s="408" t="str">
        <f t="shared" si="11"/>
        <v/>
      </c>
      <c r="G906" s="408" t="str">
        <f t="shared" si="12"/>
        <v/>
      </c>
      <c r="H906" s="410">
        <f>IF(K906&gt;='Pro Forma Detail'!D$66,'Pro Forma Detail'!D$67,'Debt ReFi'!$B$5)</f>
        <v>0.0275</v>
      </c>
      <c r="I906" s="1" t="str">
        <f t="shared" si="1"/>
        <v/>
      </c>
      <c r="J906" s="406">
        <f t="shared" si="13"/>
        <v>72867</v>
      </c>
      <c r="K906" s="105">
        <f t="shared" si="9"/>
        <v>79</v>
      </c>
      <c r="L906" s="411" t="str">
        <f t="shared" si="10"/>
        <v/>
      </c>
      <c r="M906" s="407" t="str">
        <f t="shared" si="2"/>
        <v/>
      </c>
      <c r="N906" s="407">
        <f t="shared" si="3"/>
        <v>0</v>
      </c>
      <c r="O906" s="407" t="str">
        <f t="shared" si="4"/>
        <v/>
      </c>
      <c r="P906" s="1"/>
    </row>
    <row r="907" ht="12.75" customHeight="1">
      <c r="A907" s="1">
        <v>896.0</v>
      </c>
      <c r="B907" s="408" t="str">
        <f t="shared" si="5"/>
        <v/>
      </c>
      <c r="C907" s="408">
        <f t="shared" si="6"/>
        <v>0</v>
      </c>
      <c r="D907" s="408" t="str">
        <f t="shared" si="7"/>
        <v/>
      </c>
      <c r="E907" s="176" t="str">
        <f t="shared" si="8"/>
        <v/>
      </c>
      <c r="F907" s="408" t="str">
        <f t="shared" si="11"/>
        <v/>
      </c>
      <c r="G907" s="408" t="str">
        <f t="shared" si="12"/>
        <v/>
      </c>
      <c r="H907" s="410">
        <f>IF(K907&gt;='Pro Forma Detail'!D$66,'Pro Forma Detail'!D$67,'Debt ReFi'!$B$5)</f>
        <v>0.0275</v>
      </c>
      <c r="I907" s="1" t="str">
        <f t="shared" si="1"/>
        <v/>
      </c>
      <c r="J907" s="406">
        <f t="shared" si="13"/>
        <v>72898</v>
      </c>
      <c r="K907" s="105">
        <f t="shared" si="9"/>
        <v>79</v>
      </c>
      <c r="L907" s="411" t="str">
        <f t="shared" si="10"/>
        <v/>
      </c>
      <c r="M907" s="407" t="str">
        <f t="shared" si="2"/>
        <v/>
      </c>
      <c r="N907" s="407">
        <f t="shared" si="3"/>
        <v>0</v>
      </c>
      <c r="O907" s="407" t="str">
        <f t="shared" si="4"/>
        <v/>
      </c>
      <c r="P907" s="1"/>
    </row>
    <row r="908" ht="12.75" customHeight="1">
      <c r="A908" s="1">
        <v>897.0</v>
      </c>
      <c r="B908" s="408" t="str">
        <f t="shared" si="5"/>
        <v/>
      </c>
      <c r="C908" s="408">
        <f t="shared" si="6"/>
        <v>0</v>
      </c>
      <c r="D908" s="408" t="str">
        <f t="shared" si="7"/>
        <v/>
      </c>
      <c r="E908" s="176" t="str">
        <f t="shared" si="8"/>
        <v/>
      </c>
      <c r="F908" s="408" t="str">
        <f t="shared" si="11"/>
        <v/>
      </c>
      <c r="G908" s="408" t="str">
        <f t="shared" si="12"/>
        <v/>
      </c>
      <c r="H908" s="410">
        <f>IF(K908&gt;='Pro Forma Detail'!D$66,'Pro Forma Detail'!D$67,'Debt ReFi'!$B$5)</f>
        <v>0.0275</v>
      </c>
      <c r="I908" s="1" t="str">
        <f t="shared" si="1"/>
        <v/>
      </c>
      <c r="J908" s="406">
        <f t="shared" si="13"/>
        <v>72929</v>
      </c>
      <c r="K908" s="105">
        <f t="shared" si="9"/>
        <v>79</v>
      </c>
      <c r="L908" s="411" t="str">
        <f t="shared" si="10"/>
        <v/>
      </c>
      <c r="M908" s="407" t="str">
        <f t="shared" si="2"/>
        <v/>
      </c>
      <c r="N908" s="407">
        <f t="shared" si="3"/>
        <v>0</v>
      </c>
      <c r="O908" s="407" t="str">
        <f t="shared" si="4"/>
        <v/>
      </c>
      <c r="P908" s="1"/>
    </row>
    <row r="909" ht="12.75" customHeight="1">
      <c r="A909" s="1">
        <v>898.0</v>
      </c>
      <c r="B909" s="408" t="str">
        <f t="shared" si="5"/>
        <v/>
      </c>
      <c r="C909" s="408">
        <f t="shared" si="6"/>
        <v>0</v>
      </c>
      <c r="D909" s="408" t="str">
        <f t="shared" si="7"/>
        <v/>
      </c>
      <c r="E909" s="176" t="str">
        <f t="shared" si="8"/>
        <v/>
      </c>
      <c r="F909" s="408" t="str">
        <f t="shared" si="11"/>
        <v/>
      </c>
      <c r="G909" s="408" t="str">
        <f t="shared" si="12"/>
        <v/>
      </c>
      <c r="H909" s="410">
        <f>IF(K909&gt;='Pro Forma Detail'!D$66,'Pro Forma Detail'!D$67,'Debt ReFi'!$B$5)</f>
        <v>0.0275</v>
      </c>
      <c r="I909" s="1" t="str">
        <f t="shared" si="1"/>
        <v/>
      </c>
      <c r="J909" s="406">
        <f t="shared" si="13"/>
        <v>72959</v>
      </c>
      <c r="K909" s="105">
        <f t="shared" si="9"/>
        <v>79</v>
      </c>
      <c r="L909" s="411" t="str">
        <f t="shared" si="10"/>
        <v/>
      </c>
      <c r="M909" s="407" t="str">
        <f t="shared" si="2"/>
        <v/>
      </c>
      <c r="N909" s="407">
        <f t="shared" si="3"/>
        <v>0</v>
      </c>
      <c r="O909" s="407" t="str">
        <f t="shared" si="4"/>
        <v/>
      </c>
      <c r="P909" s="1"/>
    </row>
    <row r="910" ht="12.75" customHeight="1">
      <c r="A910" s="1">
        <v>899.0</v>
      </c>
      <c r="B910" s="408" t="str">
        <f t="shared" si="5"/>
        <v/>
      </c>
      <c r="C910" s="408">
        <f t="shared" si="6"/>
        <v>0</v>
      </c>
      <c r="D910" s="408" t="str">
        <f t="shared" si="7"/>
        <v/>
      </c>
      <c r="E910" s="176" t="str">
        <f t="shared" si="8"/>
        <v/>
      </c>
      <c r="F910" s="408" t="str">
        <f t="shared" si="11"/>
        <v/>
      </c>
      <c r="G910" s="408" t="str">
        <f t="shared" si="12"/>
        <v/>
      </c>
      <c r="H910" s="410">
        <f>IF(K910&gt;='Pro Forma Detail'!D$66,'Pro Forma Detail'!D$67,'Debt ReFi'!$B$5)</f>
        <v>0.0275</v>
      </c>
      <c r="I910" s="1" t="str">
        <f t="shared" si="1"/>
        <v/>
      </c>
      <c r="J910" s="406">
        <f t="shared" si="13"/>
        <v>72990</v>
      </c>
      <c r="K910" s="105">
        <f t="shared" si="9"/>
        <v>79</v>
      </c>
      <c r="L910" s="411" t="str">
        <f t="shared" si="10"/>
        <v/>
      </c>
      <c r="M910" s="407" t="str">
        <f t="shared" si="2"/>
        <v/>
      </c>
      <c r="N910" s="407">
        <f t="shared" si="3"/>
        <v>0</v>
      </c>
      <c r="O910" s="407" t="str">
        <f t="shared" si="4"/>
        <v/>
      </c>
      <c r="P910" s="1"/>
    </row>
    <row r="911" ht="12.75" customHeight="1">
      <c r="A911" s="1">
        <v>900.0</v>
      </c>
      <c r="B911" s="408" t="str">
        <f t="shared" si="5"/>
        <v/>
      </c>
      <c r="C911" s="408">
        <f t="shared" si="6"/>
        <v>0</v>
      </c>
      <c r="D911" s="408" t="str">
        <f t="shared" si="7"/>
        <v/>
      </c>
      <c r="E911" s="176" t="str">
        <f t="shared" si="8"/>
        <v/>
      </c>
      <c r="F911" s="408" t="str">
        <f t="shared" si="11"/>
        <v/>
      </c>
      <c r="G911" s="408" t="str">
        <f t="shared" si="12"/>
        <v/>
      </c>
      <c r="H911" s="410">
        <f>IF(K911&gt;='Pro Forma Detail'!D$66,'Pro Forma Detail'!D$67,'Debt ReFi'!$B$5)</f>
        <v>0.0275</v>
      </c>
      <c r="I911" s="1" t="str">
        <f t="shared" si="1"/>
        <v/>
      </c>
      <c r="J911" s="406">
        <f t="shared" si="13"/>
        <v>73020</v>
      </c>
      <c r="K911" s="105">
        <f t="shared" si="9"/>
        <v>79</v>
      </c>
      <c r="L911" s="411" t="str">
        <f t="shared" si="10"/>
        <v/>
      </c>
      <c r="M911" s="407" t="str">
        <f t="shared" si="2"/>
        <v/>
      </c>
      <c r="N911" s="407">
        <f t="shared" si="3"/>
        <v>0</v>
      </c>
      <c r="O911" s="407" t="str">
        <f t="shared" si="4"/>
        <v/>
      </c>
      <c r="P911" s="1"/>
    </row>
    <row r="912" ht="12.75" customHeight="1">
      <c r="A912" s="1">
        <v>901.0</v>
      </c>
      <c r="B912" s="408" t="str">
        <f t="shared" si="5"/>
        <v/>
      </c>
      <c r="C912" s="408">
        <f t="shared" si="6"/>
        <v>0</v>
      </c>
      <c r="D912" s="408" t="str">
        <f t="shared" si="7"/>
        <v/>
      </c>
      <c r="E912" s="176" t="str">
        <f t="shared" si="8"/>
        <v/>
      </c>
      <c r="F912" s="408" t="str">
        <f t="shared" si="11"/>
        <v/>
      </c>
      <c r="G912" s="408" t="str">
        <f t="shared" si="12"/>
        <v/>
      </c>
      <c r="H912" s="410">
        <f>IF(K912&gt;='Pro Forma Detail'!D$66,'Pro Forma Detail'!D$67,'Debt ReFi'!$B$5)</f>
        <v>0.0275</v>
      </c>
      <c r="I912" s="1" t="str">
        <f t="shared" si="1"/>
        <v/>
      </c>
      <c r="J912" s="406">
        <f t="shared" si="13"/>
        <v>73051</v>
      </c>
      <c r="K912" s="105">
        <f t="shared" si="9"/>
        <v>80</v>
      </c>
      <c r="L912" s="411" t="str">
        <f t="shared" si="10"/>
        <v/>
      </c>
      <c r="M912" s="407" t="str">
        <f t="shared" si="2"/>
        <v/>
      </c>
      <c r="N912" s="407">
        <f t="shared" si="3"/>
        <v>0</v>
      </c>
      <c r="O912" s="407" t="str">
        <f t="shared" si="4"/>
        <v/>
      </c>
      <c r="P912" s="1"/>
    </row>
    <row r="913" ht="12.75" customHeight="1">
      <c r="A913" s="1">
        <v>902.0</v>
      </c>
      <c r="B913" s="408" t="str">
        <f t="shared" si="5"/>
        <v/>
      </c>
      <c r="C913" s="408">
        <f t="shared" si="6"/>
        <v>0</v>
      </c>
      <c r="D913" s="408" t="str">
        <f t="shared" si="7"/>
        <v/>
      </c>
      <c r="E913" s="176" t="str">
        <f t="shared" si="8"/>
        <v/>
      </c>
      <c r="F913" s="408" t="str">
        <f t="shared" si="11"/>
        <v/>
      </c>
      <c r="G913" s="408" t="str">
        <f t="shared" si="12"/>
        <v/>
      </c>
      <c r="H913" s="410">
        <f>IF(K913&gt;='Pro Forma Detail'!D$66,'Pro Forma Detail'!D$67,'Debt ReFi'!$B$5)</f>
        <v>0.0275</v>
      </c>
      <c r="I913" s="1" t="str">
        <f t="shared" si="1"/>
        <v/>
      </c>
      <c r="J913" s="406">
        <f t="shared" si="13"/>
        <v>73082</v>
      </c>
      <c r="K913" s="105">
        <f t="shared" si="9"/>
        <v>80</v>
      </c>
      <c r="L913" s="411" t="str">
        <f t="shared" si="10"/>
        <v/>
      </c>
      <c r="M913" s="407" t="str">
        <f t="shared" si="2"/>
        <v/>
      </c>
      <c r="N913" s="407">
        <f t="shared" si="3"/>
        <v>0</v>
      </c>
      <c r="O913" s="407" t="str">
        <f t="shared" si="4"/>
        <v/>
      </c>
      <c r="P913" s="1"/>
    </row>
    <row r="914" ht="12.75" customHeight="1">
      <c r="A914" s="1">
        <v>903.0</v>
      </c>
      <c r="B914" s="408" t="str">
        <f t="shared" si="5"/>
        <v/>
      </c>
      <c r="C914" s="408">
        <f t="shared" si="6"/>
        <v>0</v>
      </c>
      <c r="D914" s="408" t="str">
        <f t="shared" si="7"/>
        <v/>
      </c>
      <c r="E914" s="176" t="str">
        <f t="shared" si="8"/>
        <v/>
      </c>
      <c r="F914" s="408" t="str">
        <f t="shared" si="11"/>
        <v/>
      </c>
      <c r="G914" s="408" t="str">
        <f t="shared" si="12"/>
        <v/>
      </c>
      <c r="H914" s="410">
        <f>IF(K914&gt;='Pro Forma Detail'!D$66,'Pro Forma Detail'!D$67,'Debt ReFi'!$B$5)</f>
        <v>0.0275</v>
      </c>
      <c r="I914" s="1" t="str">
        <f t="shared" si="1"/>
        <v/>
      </c>
      <c r="J914" s="406">
        <f t="shared" si="13"/>
        <v>73110</v>
      </c>
      <c r="K914" s="105">
        <f t="shared" si="9"/>
        <v>80</v>
      </c>
      <c r="L914" s="411" t="str">
        <f t="shared" si="10"/>
        <v/>
      </c>
      <c r="M914" s="407" t="str">
        <f t="shared" si="2"/>
        <v/>
      </c>
      <c r="N914" s="407">
        <f t="shared" si="3"/>
        <v>0</v>
      </c>
      <c r="O914" s="407" t="str">
        <f t="shared" si="4"/>
        <v/>
      </c>
      <c r="P914" s="1"/>
    </row>
    <row r="915" ht="12.75" customHeight="1">
      <c r="A915" s="1">
        <v>904.0</v>
      </c>
      <c r="B915" s="408" t="str">
        <f t="shared" si="5"/>
        <v/>
      </c>
      <c r="C915" s="408">
        <f t="shared" si="6"/>
        <v>0</v>
      </c>
      <c r="D915" s="408" t="str">
        <f t="shared" si="7"/>
        <v/>
      </c>
      <c r="E915" s="176" t="str">
        <f t="shared" si="8"/>
        <v/>
      </c>
      <c r="F915" s="408" t="str">
        <f t="shared" si="11"/>
        <v/>
      </c>
      <c r="G915" s="408" t="str">
        <f t="shared" si="12"/>
        <v/>
      </c>
      <c r="H915" s="410">
        <f>IF(K915&gt;='Pro Forma Detail'!D$66,'Pro Forma Detail'!D$67,'Debt ReFi'!$B$5)</f>
        <v>0.0275</v>
      </c>
      <c r="I915" s="1" t="str">
        <f t="shared" si="1"/>
        <v/>
      </c>
      <c r="J915" s="406">
        <f t="shared" si="13"/>
        <v>73141</v>
      </c>
      <c r="K915" s="105">
        <f t="shared" si="9"/>
        <v>80</v>
      </c>
      <c r="L915" s="411" t="str">
        <f t="shared" si="10"/>
        <v/>
      </c>
      <c r="M915" s="407" t="str">
        <f t="shared" si="2"/>
        <v/>
      </c>
      <c r="N915" s="407">
        <f t="shared" si="3"/>
        <v>0</v>
      </c>
      <c r="O915" s="407" t="str">
        <f t="shared" si="4"/>
        <v/>
      </c>
      <c r="P915" s="1"/>
    </row>
    <row r="916" ht="12.75" customHeight="1">
      <c r="A916" s="1">
        <v>905.0</v>
      </c>
      <c r="B916" s="408" t="str">
        <f t="shared" si="5"/>
        <v/>
      </c>
      <c r="C916" s="408">
        <f t="shared" si="6"/>
        <v>0</v>
      </c>
      <c r="D916" s="408" t="str">
        <f t="shared" si="7"/>
        <v/>
      </c>
      <c r="E916" s="176" t="str">
        <f t="shared" si="8"/>
        <v/>
      </c>
      <c r="F916" s="408" t="str">
        <f t="shared" si="11"/>
        <v/>
      </c>
      <c r="G916" s="408" t="str">
        <f t="shared" si="12"/>
        <v/>
      </c>
      <c r="H916" s="410">
        <f>IF(K916&gt;='Pro Forma Detail'!D$66,'Pro Forma Detail'!D$67,'Debt ReFi'!$B$5)</f>
        <v>0.0275</v>
      </c>
      <c r="I916" s="1" t="str">
        <f t="shared" si="1"/>
        <v/>
      </c>
      <c r="J916" s="406">
        <f t="shared" si="13"/>
        <v>73171</v>
      </c>
      <c r="K916" s="105">
        <f t="shared" si="9"/>
        <v>80</v>
      </c>
      <c r="L916" s="411" t="str">
        <f t="shared" si="10"/>
        <v/>
      </c>
      <c r="M916" s="407" t="str">
        <f t="shared" si="2"/>
        <v/>
      </c>
      <c r="N916" s="407">
        <f t="shared" si="3"/>
        <v>0</v>
      </c>
      <c r="O916" s="407" t="str">
        <f t="shared" si="4"/>
        <v/>
      </c>
      <c r="P916" s="1"/>
    </row>
    <row r="917" ht="12.75" customHeight="1">
      <c r="A917" s="1">
        <v>906.0</v>
      </c>
      <c r="B917" s="408" t="str">
        <f t="shared" si="5"/>
        <v/>
      </c>
      <c r="C917" s="408">
        <f t="shared" si="6"/>
        <v>0</v>
      </c>
      <c r="D917" s="408" t="str">
        <f t="shared" si="7"/>
        <v/>
      </c>
      <c r="E917" s="176" t="str">
        <f t="shared" si="8"/>
        <v/>
      </c>
      <c r="F917" s="408" t="str">
        <f t="shared" si="11"/>
        <v/>
      </c>
      <c r="G917" s="408" t="str">
        <f t="shared" si="12"/>
        <v/>
      </c>
      <c r="H917" s="410">
        <f>IF(K917&gt;='Pro Forma Detail'!D$66,'Pro Forma Detail'!D$67,'Debt ReFi'!$B$5)</f>
        <v>0.0275</v>
      </c>
      <c r="I917" s="1" t="str">
        <f t="shared" si="1"/>
        <v/>
      </c>
      <c r="J917" s="406">
        <f t="shared" si="13"/>
        <v>73202</v>
      </c>
      <c r="K917" s="105">
        <f t="shared" si="9"/>
        <v>80</v>
      </c>
      <c r="L917" s="411" t="str">
        <f t="shared" si="10"/>
        <v/>
      </c>
      <c r="M917" s="407" t="str">
        <f t="shared" si="2"/>
        <v/>
      </c>
      <c r="N917" s="407">
        <f t="shared" si="3"/>
        <v>0</v>
      </c>
      <c r="O917" s="407" t="str">
        <f t="shared" si="4"/>
        <v/>
      </c>
      <c r="P917" s="1"/>
    </row>
    <row r="918" ht="12.75" customHeight="1">
      <c r="A918" s="1">
        <v>907.0</v>
      </c>
      <c r="B918" s="408" t="str">
        <f t="shared" si="5"/>
        <v/>
      </c>
      <c r="C918" s="408">
        <f t="shared" si="6"/>
        <v>0</v>
      </c>
      <c r="D918" s="408" t="str">
        <f t="shared" si="7"/>
        <v/>
      </c>
      <c r="E918" s="176" t="str">
        <f t="shared" si="8"/>
        <v/>
      </c>
      <c r="F918" s="408" t="str">
        <f t="shared" si="11"/>
        <v/>
      </c>
      <c r="G918" s="408" t="str">
        <f t="shared" si="12"/>
        <v/>
      </c>
      <c r="H918" s="410">
        <f>IF(K918&gt;='Pro Forma Detail'!D$66,'Pro Forma Detail'!D$67,'Debt ReFi'!$B$5)</f>
        <v>0.0275</v>
      </c>
      <c r="I918" s="1" t="str">
        <f t="shared" si="1"/>
        <v/>
      </c>
      <c r="J918" s="406">
        <f t="shared" si="13"/>
        <v>73232</v>
      </c>
      <c r="K918" s="105">
        <f t="shared" si="9"/>
        <v>80</v>
      </c>
      <c r="L918" s="411" t="str">
        <f t="shared" si="10"/>
        <v/>
      </c>
      <c r="M918" s="407" t="str">
        <f t="shared" si="2"/>
        <v/>
      </c>
      <c r="N918" s="407">
        <f t="shared" si="3"/>
        <v>0</v>
      </c>
      <c r="O918" s="407" t="str">
        <f t="shared" si="4"/>
        <v/>
      </c>
      <c r="P918" s="1"/>
    </row>
    <row r="919" ht="12.75" customHeight="1">
      <c r="A919" s="1">
        <v>908.0</v>
      </c>
      <c r="B919" s="408" t="str">
        <f t="shared" si="5"/>
        <v/>
      </c>
      <c r="C919" s="408">
        <f t="shared" si="6"/>
        <v>0</v>
      </c>
      <c r="D919" s="408" t="str">
        <f t="shared" si="7"/>
        <v/>
      </c>
      <c r="E919" s="176" t="str">
        <f t="shared" si="8"/>
        <v/>
      </c>
      <c r="F919" s="408" t="str">
        <f t="shared" si="11"/>
        <v/>
      </c>
      <c r="G919" s="408" t="str">
        <f t="shared" si="12"/>
        <v/>
      </c>
      <c r="H919" s="410">
        <f>IF(K919&gt;='Pro Forma Detail'!D$66,'Pro Forma Detail'!D$67,'Debt ReFi'!$B$5)</f>
        <v>0.0275</v>
      </c>
      <c r="I919" s="1" t="str">
        <f t="shared" si="1"/>
        <v/>
      </c>
      <c r="J919" s="406">
        <f t="shared" si="13"/>
        <v>73263</v>
      </c>
      <c r="K919" s="105">
        <f t="shared" si="9"/>
        <v>80</v>
      </c>
      <c r="L919" s="411" t="str">
        <f t="shared" si="10"/>
        <v/>
      </c>
      <c r="M919" s="407" t="str">
        <f t="shared" si="2"/>
        <v/>
      </c>
      <c r="N919" s="407">
        <f t="shared" si="3"/>
        <v>0</v>
      </c>
      <c r="O919" s="407" t="str">
        <f t="shared" si="4"/>
        <v/>
      </c>
      <c r="P919" s="1"/>
    </row>
    <row r="920" ht="12.75" customHeight="1">
      <c r="A920" s="1">
        <v>909.0</v>
      </c>
      <c r="B920" s="408" t="str">
        <f t="shared" si="5"/>
        <v/>
      </c>
      <c r="C920" s="408">
        <f t="shared" si="6"/>
        <v>0</v>
      </c>
      <c r="D920" s="408" t="str">
        <f t="shared" si="7"/>
        <v/>
      </c>
      <c r="E920" s="176" t="str">
        <f t="shared" si="8"/>
        <v/>
      </c>
      <c r="F920" s="408" t="str">
        <f t="shared" si="11"/>
        <v/>
      </c>
      <c r="G920" s="408" t="str">
        <f t="shared" si="12"/>
        <v/>
      </c>
      <c r="H920" s="410">
        <f>IF(K920&gt;='Pro Forma Detail'!D$66,'Pro Forma Detail'!D$67,'Debt ReFi'!$B$5)</f>
        <v>0.0275</v>
      </c>
      <c r="I920" s="1" t="str">
        <f t="shared" si="1"/>
        <v/>
      </c>
      <c r="J920" s="406">
        <f t="shared" si="13"/>
        <v>73294</v>
      </c>
      <c r="K920" s="105">
        <f t="shared" si="9"/>
        <v>80</v>
      </c>
      <c r="L920" s="411" t="str">
        <f t="shared" si="10"/>
        <v/>
      </c>
      <c r="M920" s="407" t="str">
        <f t="shared" si="2"/>
        <v/>
      </c>
      <c r="N920" s="407">
        <f t="shared" si="3"/>
        <v>0</v>
      </c>
      <c r="O920" s="407" t="str">
        <f t="shared" si="4"/>
        <v/>
      </c>
      <c r="P920" s="1"/>
    </row>
    <row r="921" ht="12.75" customHeight="1">
      <c r="A921" s="1">
        <v>910.0</v>
      </c>
      <c r="B921" s="408" t="str">
        <f t="shared" si="5"/>
        <v/>
      </c>
      <c r="C921" s="408">
        <f t="shared" si="6"/>
        <v>0</v>
      </c>
      <c r="D921" s="408" t="str">
        <f t="shared" si="7"/>
        <v/>
      </c>
      <c r="E921" s="176" t="str">
        <f t="shared" si="8"/>
        <v/>
      </c>
      <c r="F921" s="408" t="str">
        <f t="shared" si="11"/>
        <v/>
      </c>
      <c r="G921" s="408" t="str">
        <f t="shared" si="12"/>
        <v/>
      </c>
      <c r="H921" s="410">
        <f>IF(K921&gt;='Pro Forma Detail'!D$66,'Pro Forma Detail'!D$67,'Debt ReFi'!$B$5)</f>
        <v>0.0275</v>
      </c>
      <c r="I921" s="1" t="str">
        <f t="shared" si="1"/>
        <v/>
      </c>
      <c r="J921" s="406">
        <f t="shared" si="13"/>
        <v>73324</v>
      </c>
      <c r="K921" s="105">
        <f t="shared" si="9"/>
        <v>80</v>
      </c>
      <c r="L921" s="411" t="str">
        <f t="shared" si="10"/>
        <v/>
      </c>
      <c r="M921" s="407" t="str">
        <f t="shared" si="2"/>
        <v/>
      </c>
      <c r="N921" s="407">
        <f t="shared" si="3"/>
        <v>0</v>
      </c>
      <c r="O921" s="407" t="str">
        <f t="shared" si="4"/>
        <v/>
      </c>
      <c r="P921" s="1"/>
    </row>
    <row r="922" ht="12.75" customHeight="1">
      <c r="A922" s="1">
        <v>911.0</v>
      </c>
      <c r="B922" s="408" t="str">
        <f t="shared" si="5"/>
        <v/>
      </c>
      <c r="C922" s="408">
        <f t="shared" si="6"/>
        <v>0</v>
      </c>
      <c r="D922" s="408" t="str">
        <f t="shared" si="7"/>
        <v/>
      </c>
      <c r="E922" s="176" t="str">
        <f t="shared" si="8"/>
        <v/>
      </c>
      <c r="F922" s="408" t="str">
        <f t="shared" si="11"/>
        <v/>
      </c>
      <c r="G922" s="408" t="str">
        <f t="shared" si="12"/>
        <v/>
      </c>
      <c r="H922" s="410">
        <f>IF(K922&gt;='Pro Forma Detail'!D$66,'Pro Forma Detail'!D$67,'Debt ReFi'!$B$5)</f>
        <v>0.0275</v>
      </c>
      <c r="I922" s="1" t="str">
        <f t="shared" si="1"/>
        <v/>
      </c>
      <c r="J922" s="406">
        <f t="shared" si="13"/>
        <v>73355</v>
      </c>
      <c r="K922" s="105">
        <f t="shared" si="9"/>
        <v>80</v>
      </c>
      <c r="L922" s="411" t="str">
        <f t="shared" si="10"/>
        <v/>
      </c>
      <c r="M922" s="407" t="str">
        <f t="shared" si="2"/>
        <v/>
      </c>
      <c r="N922" s="407">
        <f t="shared" si="3"/>
        <v>0</v>
      </c>
      <c r="O922" s="407" t="str">
        <f t="shared" si="4"/>
        <v/>
      </c>
      <c r="P922" s="1"/>
    </row>
    <row r="923" ht="12.75" customHeight="1">
      <c r="A923" s="1">
        <v>912.0</v>
      </c>
      <c r="B923" s="408" t="str">
        <f t="shared" si="5"/>
        <v/>
      </c>
      <c r="C923" s="408">
        <f t="shared" si="6"/>
        <v>0</v>
      </c>
      <c r="D923" s="408" t="str">
        <f t="shared" si="7"/>
        <v/>
      </c>
      <c r="E923" s="176" t="str">
        <f t="shared" si="8"/>
        <v/>
      </c>
      <c r="F923" s="408" t="str">
        <f t="shared" si="11"/>
        <v/>
      </c>
      <c r="G923" s="408" t="str">
        <f t="shared" si="12"/>
        <v/>
      </c>
      <c r="H923" s="410">
        <f>IF(K923&gt;='Pro Forma Detail'!D$66,'Pro Forma Detail'!D$67,'Debt ReFi'!$B$5)</f>
        <v>0.0275</v>
      </c>
      <c r="I923" s="1" t="str">
        <f t="shared" si="1"/>
        <v/>
      </c>
      <c r="J923" s="406">
        <f t="shared" si="13"/>
        <v>73385</v>
      </c>
      <c r="K923" s="105">
        <f t="shared" si="9"/>
        <v>80</v>
      </c>
      <c r="L923" s="411" t="str">
        <f t="shared" si="10"/>
        <v/>
      </c>
      <c r="M923" s="407" t="str">
        <f t="shared" si="2"/>
        <v/>
      </c>
      <c r="N923" s="407">
        <f t="shared" si="3"/>
        <v>0</v>
      </c>
      <c r="O923" s="407" t="str">
        <f t="shared" si="4"/>
        <v/>
      </c>
      <c r="P923" s="1"/>
    </row>
    <row r="924" ht="12.75" customHeight="1">
      <c r="A924" s="1">
        <v>913.0</v>
      </c>
      <c r="B924" s="408" t="str">
        <f t="shared" si="5"/>
        <v/>
      </c>
      <c r="C924" s="408">
        <f t="shared" si="6"/>
        <v>0</v>
      </c>
      <c r="D924" s="408" t="str">
        <f t="shared" si="7"/>
        <v/>
      </c>
      <c r="E924" s="176" t="str">
        <f t="shared" si="8"/>
        <v/>
      </c>
      <c r="F924" s="408" t="str">
        <f t="shared" si="11"/>
        <v/>
      </c>
      <c r="G924" s="408" t="str">
        <f t="shared" si="12"/>
        <v/>
      </c>
      <c r="H924" s="410">
        <f>IF(K924&gt;='Pro Forma Detail'!D$66,'Pro Forma Detail'!D$67,'Debt ReFi'!$B$5)</f>
        <v>0.0275</v>
      </c>
      <c r="I924" s="1" t="str">
        <f t="shared" si="1"/>
        <v/>
      </c>
      <c r="J924" s="406">
        <f t="shared" si="13"/>
        <v>73416</v>
      </c>
      <c r="K924" s="105">
        <f t="shared" si="9"/>
        <v>81</v>
      </c>
      <c r="L924" s="411" t="str">
        <f t="shared" si="10"/>
        <v/>
      </c>
      <c r="M924" s="407" t="str">
        <f t="shared" si="2"/>
        <v/>
      </c>
      <c r="N924" s="407">
        <f t="shared" si="3"/>
        <v>0</v>
      </c>
      <c r="O924" s="407" t="str">
        <f t="shared" si="4"/>
        <v/>
      </c>
      <c r="P924" s="1"/>
    </row>
    <row r="925" ht="12.75" customHeight="1">
      <c r="A925" s="1">
        <v>914.0</v>
      </c>
      <c r="B925" s="408" t="str">
        <f t="shared" si="5"/>
        <v/>
      </c>
      <c r="C925" s="408">
        <f t="shared" si="6"/>
        <v>0</v>
      </c>
      <c r="D925" s="408" t="str">
        <f t="shared" si="7"/>
        <v/>
      </c>
      <c r="E925" s="176" t="str">
        <f t="shared" si="8"/>
        <v/>
      </c>
      <c r="F925" s="408" t="str">
        <f t="shared" si="11"/>
        <v/>
      </c>
      <c r="G925" s="408" t="str">
        <f t="shared" si="12"/>
        <v/>
      </c>
      <c r="H925" s="410">
        <f>IF(K925&gt;='Pro Forma Detail'!D$66,'Pro Forma Detail'!D$67,'Debt ReFi'!$B$5)</f>
        <v>0.0275</v>
      </c>
      <c r="I925" s="1" t="str">
        <f t="shared" si="1"/>
        <v/>
      </c>
      <c r="J925" s="406">
        <f t="shared" si="13"/>
        <v>73447</v>
      </c>
      <c r="K925" s="105">
        <f t="shared" si="9"/>
        <v>81</v>
      </c>
      <c r="L925" s="411" t="str">
        <f t="shared" si="10"/>
        <v/>
      </c>
      <c r="M925" s="407" t="str">
        <f t="shared" si="2"/>
        <v/>
      </c>
      <c r="N925" s="407">
        <f t="shared" si="3"/>
        <v>0</v>
      </c>
      <c r="O925" s="407" t="str">
        <f t="shared" si="4"/>
        <v/>
      </c>
      <c r="P925" s="1"/>
    </row>
    <row r="926" ht="12.75" customHeight="1">
      <c r="A926" s="1">
        <v>915.0</v>
      </c>
      <c r="B926" s="408" t="str">
        <f t="shared" si="5"/>
        <v/>
      </c>
      <c r="C926" s="408">
        <f t="shared" si="6"/>
        <v>0</v>
      </c>
      <c r="D926" s="408" t="str">
        <f t="shared" si="7"/>
        <v/>
      </c>
      <c r="E926" s="176" t="str">
        <f t="shared" si="8"/>
        <v/>
      </c>
      <c r="F926" s="408" t="str">
        <f t="shared" si="11"/>
        <v/>
      </c>
      <c r="G926" s="408" t="str">
        <f t="shared" si="12"/>
        <v/>
      </c>
      <c r="H926" s="410">
        <f>IF(K926&gt;='Pro Forma Detail'!D$66,'Pro Forma Detail'!D$67,'Debt ReFi'!$B$5)</f>
        <v>0.0275</v>
      </c>
      <c r="I926" s="1" t="str">
        <f t="shared" si="1"/>
        <v/>
      </c>
      <c r="J926" s="406">
        <f t="shared" si="13"/>
        <v>73475</v>
      </c>
      <c r="K926" s="105">
        <f t="shared" si="9"/>
        <v>81</v>
      </c>
      <c r="L926" s="411" t="str">
        <f t="shared" si="10"/>
        <v/>
      </c>
      <c r="M926" s="407" t="str">
        <f t="shared" si="2"/>
        <v/>
      </c>
      <c r="N926" s="407">
        <f t="shared" si="3"/>
        <v>0</v>
      </c>
      <c r="O926" s="407" t="str">
        <f t="shared" si="4"/>
        <v/>
      </c>
      <c r="P926" s="1"/>
    </row>
    <row r="927" ht="12.75" customHeight="1">
      <c r="A927" s="1">
        <v>916.0</v>
      </c>
      <c r="B927" s="408" t="str">
        <f t="shared" si="5"/>
        <v/>
      </c>
      <c r="C927" s="408">
        <f t="shared" si="6"/>
        <v>0</v>
      </c>
      <c r="D927" s="408" t="str">
        <f t="shared" si="7"/>
        <v/>
      </c>
      <c r="E927" s="176" t="str">
        <f t="shared" si="8"/>
        <v/>
      </c>
      <c r="F927" s="408" t="str">
        <f t="shared" si="11"/>
        <v/>
      </c>
      <c r="G927" s="408" t="str">
        <f t="shared" si="12"/>
        <v/>
      </c>
      <c r="H927" s="410">
        <f>IF(K927&gt;='Pro Forma Detail'!D$66,'Pro Forma Detail'!D$67,'Debt ReFi'!$B$5)</f>
        <v>0.0275</v>
      </c>
      <c r="I927" s="1" t="str">
        <f t="shared" si="1"/>
        <v/>
      </c>
      <c r="J927" s="406">
        <f t="shared" si="13"/>
        <v>73506</v>
      </c>
      <c r="K927" s="105">
        <f t="shared" si="9"/>
        <v>81</v>
      </c>
      <c r="L927" s="411" t="str">
        <f t="shared" si="10"/>
        <v/>
      </c>
      <c r="M927" s="407" t="str">
        <f t="shared" si="2"/>
        <v/>
      </c>
      <c r="N927" s="407">
        <f t="shared" si="3"/>
        <v>0</v>
      </c>
      <c r="O927" s="407" t="str">
        <f t="shared" si="4"/>
        <v/>
      </c>
      <c r="P927" s="1"/>
    </row>
    <row r="928" ht="12.75" customHeight="1">
      <c r="A928" s="1">
        <v>917.0</v>
      </c>
      <c r="B928" s="408" t="str">
        <f t="shared" si="5"/>
        <v/>
      </c>
      <c r="C928" s="408">
        <f t="shared" si="6"/>
        <v>0</v>
      </c>
      <c r="D928" s="408" t="str">
        <f t="shared" si="7"/>
        <v/>
      </c>
      <c r="E928" s="176" t="str">
        <f t="shared" si="8"/>
        <v/>
      </c>
      <c r="F928" s="408" t="str">
        <f t="shared" si="11"/>
        <v/>
      </c>
      <c r="G928" s="408" t="str">
        <f t="shared" si="12"/>
        <v/>
      </c>
      <c r="H928" s="410">
        <f>IF(K928&gt;='Pro Forma Detail'!D$66,'Pro Forma Detail'!D$67,'Debt ReFi'!$B$5)</f>
        <v>0.0275</v>
      </c>
      <c r="I928" s="1" t="str">
        <f t="shared" si="1"/>
        <v/>
      </c>
      <c r="J928" s="406">
        <f t="shared" si="13"/>
        <v>73536</v>
      </c>
      <c r="K928" s="105">
        <f t="shared" si="9"/>
        <v>81</v>
      </c>
      <c r="L928" s="411" t="str">
        <f t="shared" si="10"/>
        <v/>
      </c>
      <c r="M928" s="407" t="str">
        <f t="shared" si="2"/>
        <v/>
      </c>
      <c r="N928" s="407">
        <f t="shared" si="3"/>
        <v>0</v>
      </c>
      <c r="O928" s="407" t="str">
        <f t="shared" si="4"/>
        <v/>
      </c>
      <c r="P928" s="1"/>
    </row>
    <row r="929" ht="12.75" customHeight="1">
      <c r="A929" s="1">
        <v>918.0</v>
      </c>
      <c r="B929" s="408" t="str">
        <f t="shared" si="5"/>
        <v/>
      </c>
      <c r="C929" s="408">
        <f t="shared" si="6"/>
        <v>0</v>
      </c>
      <c r="D929" s="408" t="str">
        <f t="shared" si="7"/>
        <v/>
      </c>
      <c r="E929" s="176" t="str">
        <f t="shared" si="8"/>
        <v/>
      </c>
      <c r="F929" s="408" t="str">
        <f t="shared" si="11"/>
        <v/>
      </c>
      <c r="G929" s="408" t="str">
        <f t="shared" si="12"/>
        <v/>
      </c>
      <c r="H929" s="410">
        <f>IF(K929&gt;='Pro Forma Detail'!D$66,'Pro Forma Detail'!D$67,'Debt ReFi'!$B$5)</f>
        <v>0.0275</v>
      </c>
      <c r="I929" s="1" t="str">
        <f t="shared" si="1"/>
        <v/>
      </c>
      <c r="J929" s="406">
        <f t="shared" si="13"/>
        <v>73567</v>
      </c>
      <c r="K929" s="105">
        <f t="shared" si="9"/>
        <v>81</v>
      </c>
      <c r="L929" s="411" t="str">
        <f t="shared" si="10"/>
        <v/>
      </c>
      <c r="M929" s="407" t="str">
        <f t="shared" si="2"/>
        <v/>
      </c>
      <c r="N929" s="407">
        <f t="shared" si="3"/>
        <v>0</v>
      </c>
      <c r="O929" s="407" t="str">
        <f t="shared" si="4"/>
        <v/>
      </c>
      <c r="P929" s="1"/>
    </row>
    <row r="930" ht="12.75" customHeight="1">
      <c r="A930" s="1">
        <v>919.0</v>
      </c>
      <c r="B930" s="408" t="str">
        <f t="shared" si="5"/>
        <v/>
      </c>
      <c r="C930" s="408">
        <f t="shared" si="6"/>
        <v>0</v>
      </c>
      <c r="D930" s="408" t="str">
        <f t="shared" si="7"/>
        <v/>
      </c>
      <c r="E930" s="176" t="str">
        <f t="shared" si="8"/>
        <v/>
      </c>
      <c r="F930" s="408" t="str">
        <f t="shared" si="11"/>
        <v/>
      </c>
      <c r="G930" s="408" t="str">
        <f t="shared" si="12"/>
        <v/>
      </c>
      <c r="H930" s="410">
        <f>IF(K930&gt;='Pro Forma Detail'!D$66,'Pro Forma Detail'!D$67,'Debt ReFi'!$B$5)</f>
        <v>0.0275</v>
      </c>
      <c r="I930" s="1" t="str">
        <f t="shared" si="1"/>
        <v/>
      </c>
      <c r="J930" s="406">
        <f t="shared" si="13"/>
        <v>73597</v>
      </c>
      <c r="K930" s="105">
        <f t="shared" si="9"/>
        <v>81</v>
      </c>
      <c r="L930" s="411" t="str">
        <f t="shared" si="10"/>
        <v/>
      </c>
      <c r="M930" s="407" t="str">
        <f t="shared" si="2"/>
        <v/>
      </c>
      <c r="N930" s="407">
        <f t="shared" si="3"/>
        <v>0</v>
      </c>
      <c r="O930" s="407" t="str">
        <f t="shared" si="4"/>
        <v/>
      </c>
      <c r="P930" s="1"/>
    </row>
    <row r="931" ht="12.75" customHeight="1">
      <c r="A931" s="1">
        <v>920.0</v>
      </c>
      <c r="B931" s="408" t="str">
        <f t="shared" si="5"/>
        <v/>
      </c>
      <c r="C931" s="408">
        <f t="shared" si="6"/>
        <v>0</v>
      </c>
      <c r="D931" s="408" t="str">
        <f t="shared" si="7"/>
        <v/>
      </c>
      <c r="E931" s="176" t="str">
        <f t="shared" si="8"/>
        <v/>
      </c>
      <c r="F931" s="408" t="str">
        <f t="shared" si="11"/>
        <v/>
      </c>
      <c r="G931" s="408" t="str">
        <f t="shared" si="12"/>
        <v/>
      </c>
      <c r="H931" s="410">
        <f>IF(K931&gt;='Pro Forma Detail'!D$66,'Pro Forma Detail'!D$67,'Debt ReFi'!$B$5)</f>
        <v>0.0275</v>
      </c>
      <c r="I931" s="1" t="str">
        <f t="shared" si="1"/>
        <v/>
      </c>
      <c r="J931" s="406">
        <f t="shared" si="13"/>
        <v>73628</v>
      </c>
      <c r="K931" s="105">
        <f t="shared" si="9"/>
        <v>81</v>
      </c>
      <c r="L931" s="411" t="str">
        <f t="shared" si="10"/>
        <v/>
      </c>
      <c r="M931" s="407" t="str">
        <f t="shared" si="2"/>
        <v/>
      </c>
      <c r="N931" s="407">
        <f t="shared" si="3"/>
        <v>0</v>
      </c>
      <c r="O931" s="407" t="str">
        <f t="shared" si="4"/>
        <v/>
      </c>
      <c r="P931" s="1"/>
    </row>
    <row r="932" ht="12.75" customHeight="1">
      <c r="A932" s="1">
        <v>921.0</v>
      </c>
      <c r="B932" s="408" t="str">
        <f t="shared" si="5"/>
        <v/>
      </c>
      <c r="C932" s="408">
        <f t="shared" si="6"/>
        <v>0</v>
      </c>
      <c r="D932" s="408" t="str">
        <f t="shared" si="7"/>
        <v/>
      </c>
      <c r="E932" s="176" t="str">
        <f t="shared" si="8"/>
        <v/>
      </c>
      <c r="F932" s="408" t="str">
        <f t="shared" si="11"/>
        <v/>
      </c>
      <c r="G932" s="408" t="str">
        <f t="shared" si="12"/>
        <v/>
      </c>
      <c r="H932" s="410">
        <f>IF(K932&gt;='Pro Forma Detail'!D$66,'Pro Forma Detail'!D$67,'Debt ReFi'!$B$5)</f>
        <v>0.0275</v>
      </c>
      <c r="I932" s="1" t="str">
        <f t="shared" si="1"/>
        <v/>
      </c>
      <c r="J932" s="406">
        <f t="shared" si="13"/>
        <v>73659</v>
      </c>
      <c r="K932" s="105">
        <f t="shared" si="9"/>
        <v>81</v>
      </c>
      <c r="L932" s="411" t="str">
        <f t="shared" si="10"/>
        <v/>
      </c>
      <c r="M932" s="407" t="str">
        <f t="shared" si="2"/>
        <v/>
      </c>
      <c r="N932" s="407">
        <f t="shared" si="3"/>
        <v>0</v>
      </c>
      <c r="O932" s="407" t="str">
        <f t="shared" si="4"/>
        <v/>
      </c>
      <c r="P932" s="1"/>
    </row>
    <row r="933" ht="12.75" customHeight="1">
      <c r="A933" s="1">
        <v>922.0</v>
      </c>
      <c r="B933" s="408" t="str">
        <f t="shared" si="5"/>
        <v/>
      </c>
      <c r="C933" s="408">
        <f t="shared" si="6"/>
        <v>0</v>
      </c>
      <c r="D933" s="408" t="str">
        <f t="shared" si="7"/>
        <v/>
      </c>
      <c r="E933" s="176" t="str">
        <f t="shared" si="8"/>
        <v/>
      </c>
      <c r="F933" s="408" t="str">
        <f t="shared" si="11"/>
        <v/>
      </c>
      <c r="G933" s="408" t="str">
        <f t="shared" si="12"/>
        <v/>
      </c>
      <c r="H933" s="410">
        <f>IF(K933&gt;='Pro Forma Detail'!D$66,'Pro Forma Detail'!D$67,'Debt ReFi'!$B$5)</f>
        <v>0.0275</v>
      </c>
      <c r="I933" s="1" t="str">
        <f t="shared" si="1"/>
        <v/>
      </c>
      <c r="J933" s="406">
        <f t="shared" si="13"/>
        <v>73689</v>
      </c>
      <c r="K933" s="105">
        <f t="shared" si="9"/>
        <v>81</v>
      </c>
      <c r="L933" s="411" t="str">
        <f t="shared" si="10"/>
        <v/>
      </c>
      <c r="M933" s="407" t="str">
        <f t="shared" si="2"/>
        <v/>
      </c>
      <c r="N933" s="407">
        <f t="shared" si="3"/>
        <v>0</v>
      </c>
      <c r="O933" s="407" t="str">
        <f t="shared" si="4"/>
        <v/>
      </c>
      <c r="P933" s="1"/>
    </row>
    <row r="934" ht="12.75" customHeight="1">
      <c r="A934" s="1">
        <v>923.0</v>
      </c>
      <c r="B934" s="408" t="str">
        <f t="shared" si="5"/>
        <v/>
      </c>
      <c r="C934" s="408">
        <f t="shared" si="6"/>
        <v>0</v>
      </c>
      <c r="D934" s="408" t="str">
        <f t="shared" si="7"/>
        <v/>
      </c>
      <c r="E934" s="176" t="str">
        <f t="shared" si="8"/>
        <v/>
      </c>
      <c r="F934" s="408" t="str">
        <f t="shared" si="11"/>
        <v/>
      </c>
      <c r="G934" s="408" t="str">
        <f t="shared" si="12"/>
        <v/>
      </c>
      <c r="H934" s="410">
        <f>IF(K934&gt;='Pro Forma Detail'!D$66,'Pro Forma Detail'!D$67,'Debt ReFi'!$B$5)</f>
        <v>0.0275</v>
      </c>
      <c r="I934" s="1" t="str">
        <f t="shared" si="1"/>
        <v/>
      </c>
      <c r="J934" s="406">
        <f t="shared" si="13"/>
        <v>73720</v>
      </c>
      <c r="K934" s="105">
        <f t="shared" si="9"/>
        <v>81</v>
      </c>
      <c r="L934" s="411" t="str">
        <f t="shared" si="10"/>
        <v/>
      </c>
      <c r="M934" s="407" t="str">
        <f t="shared" si="2"/>
        <v/>
      </c>
      <c r="N934" s="407">
        <f t="shared" si="3"/>
        <v>0</v>
      </c>
      <c r="O934" s="407" t="str">
        <f t="shared" si="4"/>
        <v/>
      </c>
      <c r="P934" s="1"/>
    </row>
    <row r="935" ht="12.75" customHeight="1">
      <c r="A935" s="1">
        <v>924.0</v>
      </c>
      <c r="B935" s="408" t="str">
        <f t="shared" si="5"/>
        <v/>
      </c>
      <c r="C935" s="408">
        <f t="shared" si="6"/>
        <v>0</v>
      </c>
      <c r="D935" s="408" t="str">
        <f t="shared" si="7"/>
        <v/>
      </c>
      <c r="E935" s="176" t="str">
        <f t="shared" si="8"/>
        <v/>
      </c>
      <c r="F935" s="408" t="str">
        <f t="shared" si="11"/>
        <v/>
      </c>
      <c r="G935" s="408" t="str">
        <f t="shared" si="12"/>
        <v/>
      </c>
      <c r="H935" s="410">
        <f>IF(K935&gt;='Pro Forma Detail'!D$66,'Pro Forma Detail'!D$67,'Debt ReFi'!$B$5)</f>
        <v>0.0275</v>
      </c>
      <c r="I935" s="1" t="str">
        <f t="shared" si="1"/>
        <v/>
      </c>
      <c r="J935" s="406">
        <f t="shared" si="13"/>
        <v>73750</v>
      </c>
      <c r="K935" s="105">
        <f t="shared" si="9"/>
        <v>81</v>
      </c>
      <c r="L935" s="411" t="str">
        <f t="shared" si="10"/>
        <v/>
      </c>
      <c r="M935" s="407" t="str">
        <f t="shared" si="2"/>
        <v/>
      </c>
      <c r="N935" s="407">
        <f t="shared" si="3"/>
        <v>0</v>
      </c>
      <c r="O935" s="407" t="str">
        <f t="shared" si="4"/>
        <v/>
      </c>
      <c r="P935" s="1"/>
    </row>
    <row r="936" ht="12.75" customHeight="1">
      <c r="A936" s="1">
        <v>925.0</v>
      </c>
      <c r="B936" s="408" t="str">
        <f t="shared" si="5"/>
        <v/>
      </c>
      <c r="C936" s="408">
        <f t="shared" si="6"/>
        <v>0</v>
      </c>
      <c r="D936" s="408" t="str">
        <f t="shared" si="7"/>
        <v/>
      </c>
      <c r="E936" s="176" t="str">
        <f t="shared" si="8"/>
        <v/>
      </c>
      <c r="F936" s="408" t="str">
        <f t="shared" si="11"/>
        <v/>
      </c>
      <c r="G936" s="408" t="str">
        <f t="shared" si="12"/>
        <v/>
      </c>
      <c r="H936" s="410">
        <f>IF(K936&gt;='Pro Forma Detail'!D$66,'Pro Forma Detail'!D$67,'Debt ReFi'!$B$5)</f>
        <v>0.0275</v>
      </c>
      <c r="I936" s="1" t="str">
        <f t="shared" si="1"/>
        <v/>
      </c>
      <c r="J936" s="406">
        <f t="shared" si="13"/>
        <v>73781</v>
      </c>
      <c r="K936" s="105">
        <f t="shared" si="9"/>
        <v>82</v>
      </c>
      <c r="L936" s="411" t="str">
        <f t="shared" si="10"/>
        <v/>
      </c>
      <c r="M936" s="407" t="str">
        <f t="shared" si="2"/>
        <v/>
      </c>
      <c r="N936" s="407">
        <f t="shared" si="3"/>
        <v>0</v>
      </c>
      <c r="O936" s="407" t="str">
        <f t="shared" si="4"/>
        <v/>
      </c>
      <c r="P936" s="1"/>
    </row>
    <row r="937" ht="12.75" customHeight="1">
      <c r="A937" s="1">
        <v>926.0</v>
      </c>
      <c r="B937" s="408" t="str">
        <f t="shared" si="5"/>
        <v/>
      </c>
      <c r="C937" s="408">
        <f t="shared" si="6"/>
        <v>0</v>
      </c>
      <c r="D937" s="408" t="str">
        <f t="shared" si="7"/>
        <v/>
      </c>
      <c r="E937" s="176" t="str">
        <f t="shared" si="8"/>
        <v/>
      </c>
      <c r="F937" s="408" t="str">
        <f t="shared" si="11"/>
        <v/>
      </c>
      <c r="G937" s="408" t="str">
        <f t="shared" si="12"/>
        <v/>
      </c>
      <c r="H937" s="410">
        <f>IF(K937&gt;='Pro Forma Detail'!D$66,'Pro Forma Detail'!D$67,'Debt ReFi'!$B$5)</f>
        <v>0.0275</v>
      </c>
      <c r="I937" s="1" t="str">
        <f t="shared" si="1"/>
        <v/>
      </c>
      <c r="J937" s="406">
        <f t="shared" si="13"/>
        <v>73812</v>
      </c>
      <c r="K937" s="105">
        <f t="shared" si="9"/>
        <v>82</v>
      </c>
      <c r="L937" s="411" t="str">
        <f t="shared" si="10"/>
        <v/>
      </c>
      <c r="M937" s="407" t="str">
        <f t="shared" si="2"/>
        <v/>
      </c>
      <c r="N937" s="407">
        <f t="shared" si="3"/>
        <v>0</v>
      </c>
      <c r="O937" s="407" t="str">
        <f t="shared" si="4"/>
        <v/>
      </c>
      <c r="P937" s="1"/>
    </row>
    <row r="938" ht="12.75" customHeight="1">
      <c r="A938" s="1">
        <v>927.0</v>
      </c>
      <c r="B938" s="408" t="str">
        <f t="shared" si="5"/>
        <v/>
      </c>
      <c r="C938" s="408">
        <f t="shared" si="6"/>
        <v>0</v>
      </c>
      <c r="D938" s="408" t="str">
        <f t="shared" si="7"/>
        <v/>
      </c>
      <c r="E938" s="176" t="str">
        <f t="shared" si="8"/>
        <v/>
      </c>
      <c r="F938" s="408" t="str">
        <f t="shared" si="11"/>
        <v/>
      </c>
      <c r="G938" s="408" t="str">
        <f t="shared" si="12"/>
        <v/>
      </c>
      <c r="H938" s="410">
        <f>IF(K938&gt;='Pro Forma Detail'!D$66,'Pro Forma Detail'!D$67,'Debt ReFi'!$B$5)</f>
        <v>0.0275</v>
      </c>
      <c r="I938" s="1" t="str">
        <f t="shared" si="1"/>
        <v/>
      </c>
      <c r="J938" s="406">
        <f t="shared" si="13"/>
        <v>73840</v>
      </c>
      <c r="K938" s="105">
        <f t="shared" si="9"/>
        <v>82</v>
      </c>
      <c r="L938" s="411" t="str">
        <f t="shared" si="10"/>
        <v/>
      </c>
      <c r="M938" s="407" t="str">
        <f t="shared" si="2"/>
        <v/>
      </c>
      <c r="N938" s="407">
        <f t="shared" si="3"/>
        <v>0</v>
      </c>
      <c r="O938" s="407" t="str">
        <f t="shared" si="4"/>
        <v/>
      </c>
      <c r="P938" s="1"/>
    </row>
    <row r="939" ht="12.75" customHeight="1">
      <c r="A939" s="1">
        <v>928.0</v>
      </c>
      <c r="B939" s="408" t="str">
        <f t="shared" si="5"/>
        <v/>
      </c>
      <c r="C939" s="408">
        <f t="shared" si="6"/>
        <v>0</v>
      </c>
      <c r="D939" s="408" t="str">
        <f t="shared" si="7"/>
        <v/>
      </c>
      <c r="E939" s="176" t="str">
        <f t="shared" si="8"/>
        <v/>
      </c>
      <c r="F939" s="408" t="str">
        <f t="shared" si="11"/>
        <v/>
      </c>
      <c r="G939" s="408" t="str">
        <f t="shared" si="12"/>
        <v/>
      </c>
      <c r="H939" s="410">
        <f>IF(K939&gt;='Pro Forma Detail'!D$66,'Pro Forma Detail'!D$67,'Debt ReFi'!$B$5)</f>
        <v>0.0275</v>
      </c>
      <c r="I939" s="1" t="str">
        <f t="shared" si="1"/>
        <v/>
      </c>
      <c r="J939" s="406">
        <f t="shared" si="13"/>
        <v>73871</v>
      </c>
      <c r="K939" s="105">
        <f t="shared" si="9"/>
        <v>82</v>
      </c>
      <c r="L939" s="411" t="str">
        <f t="shared" si="10"/>
        <v/>
      </c>
      <c r="M939" s="407" t="str">
        <f t="shared" si="2"/>
        <v/>
      </c>
      <c r="N939" s="407">
        <f t="shared" si="3"/>
        <v>0</v>
      </c>
      <c r="O939" s="407" t="str">
        <f t="shared" si="4"/>
        <v/>
      </c>
      <c r="P939" s="1"/>
    </row>
    <row r="940" ht="12.75" customHeight="1">
      <c r="A940" s="1">
        <v>929.0</v>
      </c>
      <c r="B940" s="408" t="str">
        <f t="shared" si="5"/>
        <v/>
      </c>
      <c r="C940" s="408">
        <f t="shared" si="6"/>
        <v>0</v>
      </c>
      <c r="D940" s="408" t="str">
        <f t="shared" si="7"/>
        <v/>
      </c>
      <c r="E940" s="176" t="str">
        <f t="shared" si="8"/>
        <v/>
      </c>
      <c r="F940" s="408" t="str">
        <f t="shared" si="11"/>
        <v/>
      </c>
      <c r="G940" s="408" t="str">
        <f t="shared" si="12"/>
        <v/>
      </c>
      <c r="H940" s="410">
        <f>IF(K940&gt;='Pro Forma Detail'!D$66,'Pro Forma Detail'!D$67,'Debt ReFi'!$B$5)</f>
        <v>0.0275</v>
      </c>
      <c r="I940" s="1" t="str">
        <f t="shared" si="1"/>
        <v/>
      </c>
      <c r="J940" s="406">
        <f t="shared" si="13"/>
        <v>73901</v>
      </c>
      <c r="K940" s="105">
        <f t="shared" si="9"/>
        <v>82</v>
      </c>
      <c r="L940" s="411" t="str">
        <f t="shared" si="10"/>
        <v/>
      </c>
      <c r="M940" s="407" t="str">
        <f t="shared" si="2"/>
        <v/>
      </c>
      <c r="N940" s="407">
        <f t="shared" si="3"/>
        <v>0</v>
      </c>
      <c r="O940" s="407" t="str">
        <f t="shared" si="4"/>
        <v/>
      </c>
      <c r="P940" s="1"/>
    </row>
    <row r="941" ht="12.75" customHeight="1">
      <c r="A941" s="1">
        <v>930.0</v>
      </c>
      <c r="B941" s="408" t="str">
        <f t="shared" si="5"/>
        <v/>
      </c>
      <c r="C941" s="408">
        <f t="shared" si="6"/>
        <v>0</v>
      </c>
      <c r="D941" s="408" t="str">
        <f t="shared" si="7"/>
        <v/>
      </c>
      <c r="E941" s="176" t="str">
        <f t="shared" si="8"/>
        <v/>
      </c>
      <c r="F941" s="408" t="str">
        <f t="shared" si="11"/>
        <v/>
      </c>
      <c r="G941" s="408" t="str">
        <f t="shared" si="12"/>
        <v/>
      </c>
      <c r="H941" s="410">
        <f>IF(K941&gt;='Pro Forma Detail'!D$66,'Pro Forma Detail'!D$67,'Debt ReFi'!$B$5)</f>
        <v>0.0275</v>
      </c>
      <c r="I941" s="1" t="str">
        <f t="shared" si="1"/>
        <v/>
      </c>
      <c r="J941" s="406">
        <f t="shared" si="13"/>
        <v>73932</v>
      </c>
      <c r="K941" s="105">
        <f t="shared" si="9"/>
        <v>82</v>
      </c>
      <c r="L941" s="411" t="str">
        <f t="shared" si="10"/>
        <v/>
      </c>
      <c r="M941" s="407" t="str">
        <f t="shared" si="2"/>
        <v/>
      </c>
      <c r="N941" s="407">
        <f t="shared" si="3"/>
        <v>0</v>
      </c>
      <c r="O941" s="407" t="str">
        <f t="shared" si="4"/>
        <v/>
      </c>
      <c r="P941" s="1"/>
    </row>
    <row r="942" ht="12.75" customHeight="1">
      <c r="A942" s="1">
        <v>931.0</v>
      </c>
      <c r="B942" s="408" t="str">
        <f t="shared" si="5"/>
        <v/>
      </c>
      <c r="C942" s="408">
        <f t="shared" si="6"/>
        <v>0</v>
      </c>
      <c r="D942" s="408" t="str">
        <f t="shared" si="7"/>
        <v/>
      </c>
      <c r="E942" s="176" t="str">
        <f t="shared" si="8"/>
        <v/>
      </c>
      <c r="F942" s="408" t="str">
        <f t="shared" si="11"/>
        <v/>
      </c>
      <c r="G942" s="408" t="str">
        <f t="shared" si="12"/>
        <v/>
      </c>
      <c r="H942" s="410">
        <f>IF(K942&gt;='Pro Forma Detail'!D$66,'Pro Forma Detail'!D$67,'Debt ReFi'!$B$5)</f>
        <v>0.0275</v>
      </c>
      <c r="I942" s="1" t="str">
        <f t="shared" si="1"/>
        <v/>
      </c>
      <c r="J942" s="406">
        <f t="shared" si="13"/>
        <v>73962</v>
      </c>
      <c r="K942" s="105">
        <f t="shared" si="9"/>
        <v>82</v>
      </c>
      <c r="L942" s="411" t="str">
        <f t="shared" si="10"/>
        <v/>
      </c>
      <c r="M942" s="407" t="str">
        <f t="shared" si="2"/>
        <v/>
      </c>
      <c r="N942" s="407">
        <f t="shared" si="3"/>
        <v>0</v>
      </c>
      <c r="O942" s="407" t="str">
        <f t="shared" si="4"/>
        <v/>
      </c>
      <c r="P942" s="1"/>
    </row>
    <row r="943" ht="12.75" customHeight="1">
      <c r="A943" s="1">
        <v>932.0</v>
      </c>
      <c r="B943" s="408" t="str">
        <f t="shared" si="5"/>
        <v/>
      </c>
      <c r="C943" s="408">
        <f t="shared" si="6"/>
        <v>0</v>
      </c>
      <c r="D943" s="408" t="str">
        <f t="shared" si="7"/>
        <v/>
      </c>
      <c r="E943" s="176" t="str">
        <f t="shared" si="8"/>
        <v/>
      </c>
      <c r="F943" s="408" t="str">
        <f t="shared" si="11"/>
        <v/>
      </c>
      <c r="G943" s="408" t="str">
        <f t="shared" si="12"/>
        <v/>
      </c>
      <c r="H943" s="410">
        <f>IF(K943&gt;='Pro Forma Detail'!D$66,'Pro Forma Detail'!D$67,'Debt ReFi'!$B$5)</f>
        <v>0.0275</v>
      </c>
      <c r="I943" s="1" t="str">
        <f t="shared" si="1"/>
        <v/>
      </c>
      <c r="J943" s="406">
        <f t="shared" si="13"/>
        <v>73993</v>
      </c>
      <c r="K943" s="105">
        <f t="shared" si="9"/>
        <v>82</v>
      </c>
      <c r="L943" s="411" t="str">
        <f t="shared" si="10"/>
        <v/>
      </c>
      <c r="M943" s="407" t="str">
        <f t="shared" si="2"/>
        <v/>
      </c>
      <c r="N943" s="407">
        <f t="shared" si="3"/>
        <v>0</v>
      </c>
      <c r="O943" s="407" t="str">
        <f t="shared" si="4"/>
        <v/>
      </c>
      <c r="P943" s="1"/>
    </row>
    <row r="944" ht="12.75" customHeight="1">
      <c r="A944" s="1">
        <v>933.0</v>
      </c>
      <c r="B944" s="408" t="str">
        <f t="shared" si="5"/>
        <v/>
      </c>
      <c r="C944" s="408">
        <f t="shared" si="6"/>
        <v>0</v>
      </c>
      <c r="D944" s="408" t="str">
        <f t="shared" si="7"/>
        <v/>
      </c>
      <c r="E944" s="176" t="str">
        <f t="shared" si="8"/>
        <v/>
      </c>
      <c r="F944" s="408" t="str">
        <f t="shared" si="11"/>
        <v/>
      </c>
      <c r="G944" s="408" t="str">
        <f t="shared" si="12"/>
        <v/>
      </c>
      <c r="H944" s="410">
        <f>IF(K944&gt;='Pro Forma Detail'!D$66,'Pro Forma Detail'!D$67,'Debt ReFi'!$B$5)</f>
        <v>0.0275</v>
      </c>
      <c r="I944" s="1" t="str">
        <f t="shared" si="1"/>
        <v/>
      </c>
      <c r="J944" s="406">
        <f t="shared" si="13"/>
        <v>74024</v>
      </c>
      <c r="K944" s="105">
        <f t="shared" si="9"/>
        <v>82</v>
      </c>
      <c r="L944" s="411" t="str">
        <f t="shared" si="10"/>
        <v/>
      </c>
      <c r="M944" s="407" t="str">
        <f t="shared" si="2"/>
        <v/>
      </c>
      <c r="N944" s="407">
        <f t="shared" si="3"/>
        <v>0</v>
      </c>
      <c r="O944" s="407" t="str">
        <f t="shared" si="4"/>
        <v/>
      </c>
      <c r="P944" s="1"/>
    </row>
    <row r="945" ht="12.75" customHeight="1">
      <c r="A945" s="1">
        <v>934.0</v>
      </c>
      <c r="B945" s="408" t="str">
        <f t="shared" si="5"/>
        <v/>
      </c>
      <c r="C945" s="408">
        <f t="shared" si="6"/>
        <v>0</v>
      </c>
      <c r="D945" s="408" t="str">
        <f t="shared" si="7"/>
        <v/>
      </c>
      <c r="E945" s="176" t="str">
        <f t="shared" si="8"/>
        <v/>
      </c>
      <c r="F945" s="408" t="str">
        <f t="shared" si="11"/>
        <v/>
      </c>
      <c r="G945" s="408" t="str">
        <f t="shared" si="12"/>
        <v/>
      </c>
      <c r="H945" s="410">
        <f>IF(K945&gt;='Pro Forma Detail'!D$66,'Pro Forma Detail'!D$67,'Debt ReFi'!$B$5)</f>
        <v>0.0275</v>
      </c>
      <c r="I945" s="1" t="str">
        <f t="shared" si="1"/>
        <v/>
      </c>
      <c r="J945" s="406">
        <f t="shared" si="13"/>
        <v>74054</v>
      </c>
      <c r="K945" s="105">
        <f t="shared" si="9"/>
        <v>82</v>
      </c>
      <c r="L945" s="411" t="str">
        <f t="shared" si="10"/>
        <v/>
      </c>
      <c r="M945" s="407" t="str">
        <f t="shared" si="2"/>
        <v/>
      </c>
      <c r="N945" s="407">
        <f t="shared" si="3"/>
        <v>0</v>
      </c>
      <c r="O945" s="407" t="str">
        <f t="shared" si="4"/>
        <v/>
      </c>
      <c r="P945" s="1"/>
    </row>
    <row r="946" ht="12.75" customHeight="1">
      <c r="A946" s="1">
        <v>935.0</v>
      </c>
      <c r="B946" s="408" t="str">
        <f t="shared" si="5"/>
        <v/>
      </c>
      <c r="C946" s="408">
        <f t="shared" si="6"/>
        <v>0</v>
      </c>
      <c r="D946" s="408" t="str">
        <f t="shared" si="7"/>
        <v/>
      </c>
      <c r="E946" s="176" t="str">
        <f t="shared" si="8"/>
        <v/>
      </c>
      <c r="F946" s="408" t="str">
        <f t="shared" si="11"/>
        <v/>
      </c>
      <c r="G946" s="408" t="str">
        <f t="shared" si="12"/>
        <v/>
      </c>
      <c r="H946" s="410">
        <f>IF(K946&gt;='Pro Forma Detail'!D$66,'Pro Forma Detail'!D$67,'Debt ReFi'!$B$5)</f>
        <v>0.0275</v>
      </c>
      <c r="I946" s="1" t="str">
        <f t="shared" si="1"/>
        <v/>
      </c>
      <c r="J946" s="406">
        <f t="shared" si="13"/>
        <v>74085</v>
      </c>
      <c r="K946" s="105">
        <f t="shared" si="9"/>
        <v>82</v>
      </c>
      <c r="L946" s="411" t="str">
        <f t="shared" si="10"/>
        <v/>
      </c>
      <c r="M946" s="407" t="str">
        <f t="shared" si="2"/>
        <v/>
      </c>
      <c r="N946" s="407">
        <f t="shared" si="3"/>
        <v>0</v>
      </c>
      <c r="O946" s="407" t="str">
        <f t="shared" si="4"/>
        <v/>
      </c>
      <c r="P946" s="1"/>
    </row>
    <row r="947" ht="12.75" customHeight="1">
      <c r="A947" s="1">
        <v>936.0</v>
      </c>
      <c r="B947" s="408" t="str">
        <f t="shared" si="5"/>
        <v/>
      </c>
      <c r="C947" s="408">
        <f t="shared" si="6"/>
        <v>0</v>
      </c>
      <c r="D947" s="408" t="str">
        <f t="shared" si="7"/>
        <v/>
      </c>
      <c r="E947" s="176" t="str">
        <f t="shared" si="8"/>
        <v/>
      </c>
      <c r="F947" s="408" t="str">
        <f t="shared" si="11"/>
        <v/>
      </c>
      <c r="G947" s="408" t="str">
        <f t="shared" si="12"/>
        <v/>
      </c>
      <c r="H947" s="410">
        <f>IF(K947&gt;='Pro Forma Detail'!D$66,'Pro Forma Detail'!D$67,'Debt ReFi'!$B$5)</f>
        <v>0.0275</v>
      </c>
      <c r="I947" s="1" t="str">
        <f t="shared" si="1"/>
        <v/>
      </c>
      <c r="J947" s="406">
        <f t="shared" si="13"/>
        <v>74115</v>
      </c>
      <c r="K947" s="105">
        <f t="shared" si="9"/>
        <v>82</v>
      </c>
      <c r="L947" s="411" t="str">
        <f t="shared" si="10"/>
        <v/>
      </c>
      <c r="M947" s="407" t="str">
        <f t="shared" si="2"/>
        <v/>
      </c>
      <c r="N947" s="407">
        <f t="shared" si="3"/>
        <v>0</v>
      </c>
      <c r="O947" s="407" t="str">
        <f t="shared" si="4"/>
        <v/>
      </c>
      <c r="P947" s="1"/>
    </row>
    <row r="948" ht="12.75" customHeight="1">
      <c r="A948" s="1">
        <v>937.0</v>
      </c>
      <c r="B948" s="408" t="str">
        <f t="shared" si="5"/>
        <v/>
      </c>
      <c r="C948" s="408">
        <f t="shared" si="6"/>
        <v>0</v>
      </c>
      <c r="D948" s="408" t="str">
        <f t="shared" si="7"/>
        <v/>
      </c>
      <c r="E948" s="176" t="str">
        <f t="shared" si="8"/>
        <v/>
      </c>
      <c r="F948" s="408" t="str">
        <f t="shared" si="11"/>
        <v/>
      </c>
      <c r="G948" s="408" t="str">
        <f t="shared" si="12"/>
        <v/>
      </c>
      <c r="H948" s="410">
        <f>IF(K948&gt;='Pro Forma Detail'!D$66,'Pro Forma Detail'!D$67,'Debt ReFi'!$B$5)</f>
        <v>0.0275</v>
      </c>
      <c r="I948" s="1" t="str">
        <f t="shared" si="1"/>
        <v/>
      </c>
      <c r="J948" s="406">
        <f t="shared" si="13"/>
        <v>74146</v>
      </c>
      <c r="K948" s="105">
        <f t="shared" si="9"/>
        <v>83</v>
      </c>
      <c r="L948" s="411" t="str">
        <f t="shared" si="10"/>
        <v/>
      </c>
      <c r="M948" s="407" t="str">
        <f t="shared" si="2"/>
        <v/>
      </c>
      <c r="N948" s="407">
        <f t="shared" si="3"/>
        <v>0</v>
      </c>
      <c r="O948" s="407" t="str">
        <f t="shared" si="4"/>
        <v/>
      </c>
      <c r="P948" s="1"/>
    </row>
    <row r="949" ht="12.75" customHeight="1">
      <c r="A949" s="1">
        <v>938.0</v>
      </c>
      <c r="B949" s="408" t="str">
        <f t="shared" si="5"/>
        <v/>
      </c>
      <c r="C949" s="408">
        <f t="shared" si="6"/>
        <v>0</v>
      </c>
      <c r="D949" s="408" t="str">
        <f t="shared" si="7"/>
        <v/>
      </c>
      <c r="E949" s="176" t="str">
        <f t="shared" si="8"/>
        <v/>
      </c>
      <c r="F949" s="408" t="str">
        <f t="shared" si="11"/>
        <v/>
      </c>
      <c r="G949" s="408" t="str">
        <f t="shared" si="12"/>
        <v/>
      </c>
      <c r="H949" s="410">
        <f>IF(K949&gt;='Pro Forma Detail'!D$66,'Pro Forma Detail'!D$67,'Debt ReFi'!$B$5)</f>
        <v>0.0275</v>
      </c>
      <c r="I949" s="1" t="str">
        <f t="shared" si="1"/>
        <v/>
      </c>
      <c r="J949" s="406">
        <f t="shared" si="13"/>
        <v>74177</v>
      </c>
      <c r="K949" s="105">
        <f t="shared" si="9"/>
        <v>83</v>
      </c>
      <c r="L949" s="411" t="str">
        <f t="shared" si="10"/>
        <v/>
      </c>
      <c r="M949" s="407" t="str">
        <f t="shared" si="2"/>
        <v/>
      </c>
      <c r="N949" s="407">
        <f t="shared" si="3"/>
        <v>0</v>
      </c>
      <c r="O949" s="407" t="str">
        <f t="shared" si="4"/>
        <v/>
      </c>
      <c r="P949" s="1"/>
    </row>
    <row r="950" ht="12.75" customHeight="1">
      <c r="A950" s="1">
        <v>939.0</v>
      </c>
      <c r="B950" s="408" t="str">
        <f t="shared" si="5"/>
        <v/>
      </c>
      <c r="C950" s="408">
        <f t="shared" si="6"/>
        <v>0</v>
      </c>
      <c r="D950" s="408" t="str">
        <f t="shared" si="7"/>
        <v/>
      </c>
      <c r="E950" s="176" t="str">
        <f t="shared" si="8"/>
        <v/>
      </c>
      <c r="F950" s="408" t="str">
        <f t="shared" si="11"/>
        <v/>
      </c>
      <c r="G950" s="408" t="str">
        <f t="shared" si="12"/>
        <v/>
      </c>
      <c r="H950" s="410">
        <f>IF(K950&gt;='Pro Forma Detail'!D$66,'Pro Forma Detail'!D$67,'Debt ReFi'!$B$5)</f>
        <v>0.0275</v>
      </c>
      <c r="I950" s="1" t="str">
        <f t="shared" si="1"/>
        <v/>
      </c>
      <c r="J950" s="406">
        <f t="shared" si="13"/>
        <v>74205</v>
      </c>
      <c r="K950" s="105">
        <f t="shared" si="9"/>
        <v>83</v>
      </c>
      <c r="L950" s="411" t="str">
        <f t="shared" si="10"/>
        <v/>
      </c>
      <c r="M950" s="407" t="str">
        <f t="shared" si="2"/>
        <v/>
      </c>
      <c r="N950" s="407">
        <f t="shared" si="3"/>
        <v>0</v>
      </c>
      <c r="O950" s="407" t="str">
        <f t="shared" si="4"/>
        <v/>
      </c>
      <c r="P950" s="1"/>
    </row>
    <row r="951" ht="12.75" customHeight="1">
      <c r="A951" s="1">
        <v>940.0</v>
      </c>
      <c r="B951" s="408" t="str">
        <f t="shared" si="5"/>
        <v/>
      </c>
      <c r="C951" s="408">
        <f t="shared" si="6"/>
        <v>0</v>
      </c>
      <c r="D951" s="408" t="str">
        <f t="shared" si="7"/>
        <v/>
      </c>
      <c r="E951" s="176" t="str">
        <f t="shared" si="8"/>
        <v/>
      </c>
      <c r="F951" s="408" t="str">
        <f t="shared" si="11"/>
        <v/>
      </c>
      <c r="G951" s="408" t="str">
        <f t="shared" si="12"/>
        <v/>
      </c>
      <c r="H951" s="410">
        <f>IF(K951&gt;='Pro Forma Detail'!D$66,'Pro Forma Detail'!D$67,'Debt ReFi'!$B$5)</f>
        <v>0.0275</v>
      </c>
      <c r="I951" s="1" t="str">
        <f t="shared" si="1"/>
        <v/>
      </c>
      <c r="J951" s="406">
        <f t="shared" si="13"/>
        <v>74236</v>
      </c>
      <c r="K951" s="105">
        <f t="shared" si="9"/>
        <v>83</v>
      </c>
      <c r="L951" s="411" t="str">
        <f t="shared" si="10"/>
        <v/>
      </c>
      <c r="M951" s="407" t="str">
        <f t="shared" si="2"/>
        <v/>
      </c>
      <c r="N951" s="407">
        <f t="shared" si="3"/>
        <v>0</v>
      </c>
      <c r="O951" s="407" t="str">
        <f t="shared" si="4"/>
        <v/>
      </c>
      <c r="P951" s="1"/>
    </row>
    <row r="952" ht="12.75" customHeight="1">
      <c r="A952" s="1">
        <v>941.0</v>
      </c>
      <c r="B952" s="408" t="str">
        <f t="shared" si="5"/>
        <v/>
      </c>
      <c r="C952" s="408">
        <f t="shared" si="6"/>
        <v>0</v>
      </c>
      <c r="D952" s="408" t="str">
        <f t="shared" si="7"/>
        <v/>
      </c>
      <c r="E952" s="176" t="str">
        <f t="shared" si="8"/>
        <v/>
      </c>
      <c r="F952" s="408" t="str">
        <f t="shared" si="11"/>
        <v/>
      </c>
      <c r="G952" s="408" t="str">
        <f t="shared" si="12"/>
        <v/>
      </c>
      <c r="H952" s="410">
        <f>IF(K952&gt;='Pro Forma Detail'!D$66,'Pro Forma Detail'!D$67,'Debt ReFi'!$B$5)</f>
        <v>0.0275</v>
      </c>
      <c r="I952" s="1" t="str">
        <f t="shared" si="1"/>
        <v/>
      </c>
      <c r="J952" s="406">
        <f t="shared" si="13"/>
        <v>74266</v>
      </c>
      <c r="K952" s="105">
        <f t="shared" si="9"/>
        <v>83</v>
      </c>
      <c r="L952" s="411" t="str">
        <f t="shared" si="10"/>
        <v/>
      </c>
      <c r="M952" s="407" t="str">
        <f t="shared" si="2"/>
        <v/>
      </c>
      <c r="N952" s="407">
        <f t="shared" si="3"/>
        <v>0</v>
      </c>
      <c r="O952" s="407" t="str">
        <f t="shared" si="4"/>
        <v/>
      </c>
      <c r="P952" s="1"/>
    </row>
    <row r="953" ht="12.75" customHeight="1">
      <c r="A953" s="1">
        <v>942.0</v>
      </c>
      <c r="B953" s="408" t="str">
        <f t="shared" si="5"/>
        <v/>
      </c>
      <c r="C953" s="408">
        <f t="shared" si="6"/>
        <v>0</v>
      </c>
      <c r="D953" s="408" t="str">
        <f t="shared" si="7"/>
        <v/>
      </c>
      <c r="E953" s="176" t="str">
        <f t="shared" si="8"/>
        <v/>
      </c>
      <c r="F953" s="408" t="str">
        <f t="shared" si="11"/>
        <v/>
      </c>
      <c r="G953" s="408" t="str">
        <f t="shared" si="12"/>
        <v/>
      </c>
      <c r="H953" s="410">
        <f>IF(K953&gt;='Pro Forma Detail'!D$66,'Pro Forma Detail'!D$67,'Debt ReFi'!$B$5)</f>
        <v>0.0275</v>
      </c>
      <c r="I953" s="1" t="str">
        <f t="shared" si="1"/>
        <v/>
      </c>
      <c r="J953" s="406">
        <f t="shared" si="13"/>
        <v>74297</v>
      </c>
      <c r="K953" s="105">
        <f t="shared" si="9"/>
        <v>83</v>
      </c>
      <c r="L953" s="411" t="str">
        <f t="shared" si="10"/>
        <v/>
      </c>
      <c r="M953" s="407" t="str">
        <f t="shared" si="2"/>
        <v/>
      </c>
      <c r="N953" s="407">
        <f t="shared" si="3"/>
        <v>0</v>
      </c>
      <c r="O953" s="407" t="str">
        <f t="shared" si="4"/>
        <v/>
      </c>
      <c r="P953" s="1"/>
    </row>
    <row r="954" ht="12.75" customHeight="1">
      <c r="A954" s="1">
        <v>943.0</v>
      </c>
      <c r="B954" s="408" t="str">
        <f t="shared" si="5"/>
        <v/>
      </c>
      <c r="C954" s="408">
        <f t="shared" si="6"/>
        <v>0</v>
      </c>
      <c r="D954" s="408" t="str">
        <f t="shared" si="7"/>
        <v/>
      </c>
      <c r="E954" s="176" t="str">
        <f t="shared" si="8"/>
        <v/>
      </c>
      <c r="F954" s="408" t="str">
        <f t="shared" si="11"/>
        <v/>
      </c>
      <c r="G954" s="408" t="str">
        <f t="shared" si="12"/>
        <v/>
      </c>
      <c r="H954" s="410">
        <f>IF(K954&gt;='Pro Forma Detail'!D$66,'Pro Forma Detail'!D$67,'Debt ReFi'!$B$5)</f>
        <v>0.0275</v>
      </c>
      <c r="I954" s="1" t="str">
        <f t="shared" si="1"/>
        <v/>
      </c>
      <c r="J954" s="406">
        <f t="shared" si="13"/>
        <v>74327</v>
      </c>
      <c r="K954" s="105">
        <f t="shared" si="9"/>
        <v>83</v>
      </c>
      <c r="L954" s="411" t="str">
        <f t="shared" si="10"/>
        <v/>
      </c>
      <c r="M954" s="407" t="str">
        <f t="shared" si="2"/>
        <v/>
      </c>
      <c r="N954" s="407">
        <f t="shared" si="3"/>
        <v>0</v>
      </c>
      <c r="O954" s="407" t="str">
        <f t="shared" si="4"/>
        <v/>
      </c>
      <c r="P954" s="1"/>
    </row>
    <row r="955" ht="12.75" customHeight="1">
      <c r="A955" s="1">
        <v>944.0</v>
      </c>
      <c r="B955" s="408" t="str">
        <f t="shared" si="5"/>
        <v/>
      </c>
      <c r="C955" s="408">
        <f t="shared" si="6"/>
        <v>0</v>
      </c>
      <c r="D955" s="408" t="str">
        <f t="shared" si="7"/>
        <v/>
      </c>
      <c r="E955" s="176" t="str">
        <f t="shared" si="8"/>
        <v/>
      </c>
      <c r="F955" s="408" t="str">
        <f t="shared" si="11"/>
        <v/>
      </c>
      <c r="G955" s="408" t="str">
        <f t="shared" si="12"/>
        <v/>
      </c>
      <c r="H955" s="410">
        <f>IF(K955&gt;='Pro Forma Detail'!D$66,'Pro Forma Detail'!D$67,'Debt ReFi'!$B$5)</f>
        <v>0.0275</v>
      </c>
      <c r="I955" s="1" t="str">
        <f t="shared" si="1"/>
        <v/>
      </c>
      <c r="J955" s="406">
        <f t="shared" si="13"/>
        <v>74358</v>
      </c>
      <c r="K955" s="105">
        <f t="shared" si="9"/>
        <v>83</v>
      </c>
      <c r="L955" s="411" t="str">
        <f t="shared" si="10"/>
        <v/>
      </c>
      <c r="M955" s="407" t="str">
        <f t="shared" si="2"/>
        <v/>
      </c>
      <c r="N955" s="407">
        <f t="shared" si="3"/>
        <v>0</v>
      </c>
      <c r="O955" s="407" t="str">
        <f t="shared" si="4"/>
        <v/>
      </c>
      <c r="P955" s="1"/>
    </row>
    <row r="956" ht="12.75" customHeight="1">
      <c r="A956" s="1">
        <v>945.0</v>
      </c>
      <c r="B956" s="408" t="str">
        <f t="shared" si="5"/>
        <v/>
      </c>
      <c r="C956" s="408">
        <f t="shared" si="6"/>
        <v>0</v>
      </c>
      <c r="D956" s="408" t="str">
        <f t="shared" si="7"/>
        <v/>
      </c>
      <c r="E956" s="176" t="str">
        <f t="shared" si="8"/>
        <v/>
      </c>
      <c r="F956" s="408" t="str">
        <f t="shared" si="11"/>
        <v/>
      </c>
      <c r="G956" s="408" t="str">
        <f t="shared" si="12"/>
        <v/>
      </c>
      <c r="H956" s="410">
        <f>IF(K956&gt;='Pro Forma Detail'!D$66,'Pro Forma Detail'!D$67,'Debt ReFi'!$B$5)</f>
        <v>0.0275</v>
      </c>
      <c r="I956" s="1" t="str">
        <f t="shared" si="1"/>
        <v/>
      </c>
      <c r="J956" s="406">
        <f t="shared" si="13"/>
        <v>74389</v>
      </c>
      <c r="K956" s="105">
        <f t="shared" si="9"/>
        <v>83</v>
      </c>
      <c r="L956" s="411" t="str">
        <f t="shared" si="10"/>
        <v/>
      </c>
      <c r="M956" s="407" t="str">
        <f t="shared" si="2"/>
        <v/>
      </c>
      <c r="N956" s="407">
        <f t="shared" si="3"/>
        <v>0</v>
      </c>
      <c r="O956" s="407" t="str">
        <f t="shared" si="4"/>
        <v/>
      </c>
      <c r="P956" s="1"/>
    </row>
    <row r="957" ht="12.75" customHeight="1">
      <c r="A957" s="1">
        <v>946.0</v>
      </c>
      <c r="B957" s="408" t="str">
        <f t="shared" si="5"/>
        <v/>
      </c>
      <c r="C957" s="408">
        <f t="shared" si="6"/>
        <v>0</v>
      </c>
      <c r="D957" s="408" t="str">
        <f t="shared" si="7"/>
        <v/>
      </c>
      <c r="E957" s="176" t="str">
        <f t="shared" si="8"/>
        <v/>
      </c>
      <c r="F957" s="408" t="str">
        <f t="shared" si="11"/>
        <v/>
      </c>
      <c r="G957" s="408" t="str">
        <f t="shared" si="12"/>
        <v/>
      </c>
      <c r="H957" s="410">
        <f>IF(K957&gt;='Pro Forma Detail'!D$66,'Pro Forma Detail'!D$67,'Debt ReFi'!$B$5)</f>
        <v>0.0275</v>
      </c>
      <c r="I957" s="1" t="str">
        <f t="shared" si="1"/>
        <v/>
      </c>
      <c r="J957" s="406">
        <f t="shared" si="13"/>
        <v>74419</v>
      </c>
      <c r="K957" s="105">
        <f t="shared" si="9"/>
        <v>83</v>
      </c>
      <c r="L957" s="411" t="str">
        <f t="shared" si="10"/>
        <v/>
      </c>
      <c r="M957" s="407" t="str">
        <f t="shared" si="2"/>
        <v/>
      </c>
      <c r="N957" s="407">
        <f t="shared" si="3"/>
        <v>0</v>
      </c>
      <c r="O957" s="407" t="str">
        <f t="shared" si="4"/>
        <v/>
      </c>
      <c r="P957" s="1"/>
    </row>
    <row r="958" ht="12.75" customHeight="1">
      <c r="A958" s="1">
        <v>947.0</v>
      </c>
      <c r="B958" s="408" t="str">
        <f t="shared" si="5"/>
        <v/>
      </c>
      <c r="C958" s="408">
        <f t="shared" si="6"/>
        <v>0</v>
      </c>
      <c r="D958" s="408" t="str">
        <f t="shared" si="7"/>
        <v/>
      </c>
      <c r="E958" s="176" t="str">
        <f t="shared" si="8"/>
        <v/>
      </c>
      <c r="F958" s="408" t="str">
        <f t="shared" si="11"/>
        <v/>
      </c>
      <c r="G958" s="408" t="str">
        <f t="shared" si="12"/>
        <v/>
      </c>
      <c r="H958" s="410">
        <f>IF(K958&gt;='Pro Forma Detail'!D$66,'Pro Forma Detail'!D$67,'Debt ReFi'!$B$5)</f>
        <v>0.0275</v>
      </c>
      <c r="I958" s="1" t="str">
        <f t="shared" si="1"/>
        <v/>
      </c>
      <c r="J958" s="406">
        <f t="shared" si="13"/>
        <v>74450</v>
      </c>
      <c r="K958" s="105">
        <f t="shared" si="9"/>
        <v>83</v>
      </c>
      <c r="L958" s="411" t="str">
        <f t="shared" si="10"/>
        <v/>
      </c>
      <c r="M958" s="407" t="str">
        <f t="shared" si="2"/>
        <v/>
      </c>
      <c r="N958" s="407">
        <f t="shared" si="3"/>
        <v>0</v>
      </c>
      <c r="O958" s="407" t="str">
        <f t="shared" si="4"/>
        <v/>
      </c>
      <c r="P958" s="1"/>
    </row>
    <row r="959" ht="12.75" customHeight="1">
      <c r="A959" s="1">
        <v>948.0</v>
      </c>
      <c r="B959" s="408" t="str">
        <f t="shared" si="5"/>
        <v/>
      </c>
      <c r="C959" s="408">
        <f t="shared" si="6"/>
        <v>0</v>
      </c>
      <c r="D959" s="408" t="str">
        <f t="shared" si="7"/>
        <v/>
      </c>
      <c r="E959" s="176" t="str">
        <f t="shared" si="8"/>
        <v/>
      </c>
      <c r="F959" s="408" t="str">
        <f t="shared" si="11"/>
        <v/>
      </c>
      <c r="G959" s="408" t="str">
        <f t="shared" si="12"/>
        <v/>
      </c>
      <c r="H959" s="410">
        <f>IF(K959&gt;='Pro Forma Detail'!D$66,'Pro Forma Detail'!D$67,'Debt ReFi'!$B$5)</f>
        <v>0.0275</v>
      </c>
      <c r="I959" s="1" t="str">
        <f t="shared" si="1"/>
        <v/>
      </c>
      <c r="J959" s="406">
        <f t="shared" si="13"/>
        <v>74480</v>
      </c>
      <c r="K959" s="105">
        <f t="shared" si="9"/>
        <v>83</v>
      </c>
      <c r="L959" s="411" t="str">
        <f t="shared" si="10"/>
        <v/>
      </c>
      <c r="M959" s="407" t="str">
        <f t="shared" si="2"/>
        <v/>
      </c>
      <c r="N959" s="407">
        <f t="shared" si="3"/>
        <v>0</v>
      </c>
      <c r="O959" s="407" t="str">
        <f t="shared" si="4"/>
        <v/>
      </c>
      <c r="P959" s="1"/>
    </row>
    <row r="960" ht="12.75" customHeight="1">
      <c r="A960" s="1">
        <v>949.0</v>
      </c>
      <c r="B960" s="408" t="str">
        <f t="shared" si="5"/>
        <v/>
      </c>
      <c r="C960" s="408">
        <f t="shared" si="6"/>
        <v>0</v>
      </c>
      <c r="D960" s="408" t="str">
        <f t="shared" si="7"/>
        <v/>
      </c>
      <c r="E960" s="176" t="str">
        <f t="shared" si="8"/>
        <v/>
      </c>
      <c r="F960" s="408" t="str">
        <f t="shared" si="11"/>
        <v/>
      </c>
      <c r="G960" s="408" t="str">
        <f t="shared" si="12"/>
        <v/>
      </c>
      <c r="H960" s="410">
        <f>IF(K960&gt;='Pro Forma Detail'!D$66,'Pro Forma Detail'!D$67,'Debt ReFi'!$B$5)</f>
        <v>0.0275</v>
      </c>
      <c r="I960" s="1" t="str">
        <f t="shared" si="1"/>
        <v/>
      </c>
      <c r="J960" s="406">
        <f t="shared" si="13"/>
        <v>74511</v>
      </c>
      <c r="K960" s="105">
        <f t="shared" si="9"/>
        <v>84</v>
      </c>
      <c r="L960" s="411" t="str">
        <f t="shared" si="10"/>
        <v/>
      </c>
      <c r="M960" s="407" t="str">
        <f t="shared" si="2"/>
        <v/>
      </c>
      <c r="N960" s="407">
        <f t="shared" si="3"/>
        <v>0</v>
      </c>
      <c r="O960" s="407" t="str">
        <f t="shared" si="4"/>
        <v/>
      </c>
      <c r="P960" s="1"/>
    </row>
    <row r="961" ht="12.75" customHeight="1">
      <c r="A961" s="1">
        <v>950.0</v>
      </c>
      <c r="B961" s="408" t="str">
        <f t="shared" si="5"/>
        <v/>
      </c>
      <c r="C961" s="408">
        <f t="shared" si="6"/>
        <v>0</v>
      </c>
      <c r="D961" s="408" t="str">
        <f t="shared" si="7"/>
        <v/>
      </c>
      <c r="E961" s="176" t="str">
        <f t="shared" si="8"/>
        <v/>
      </c>
      <c r="F961" s="408" t="str">
        <f t="shared" si="11"/>
        <v/>
      </c>
      <c r="G961" s="408" t="str">
        <f t="shared" si="12"/>
        <v/>
      </c>
      <c r="H961" s="410">
        <f>IF(K961&gt;='Pro Forma Detail'!D$66,'Pro Forma Detail'!D$67,'Debt ReFi'!$B$5)</f>
        <v>0.0275</v>
      </c>
      <c r="I961" s="1" t="str">
        <f t="shared" si="1"/>
        <v/>
      </c>
      <c r="J961" s="406">
        <f t="shared" si="13"/>
        <v>74542</v>
      </c>
      <c r="K961" s="105">
        <f t="shared" si="9"/>
        <v>84</v>
      </c>
      <c r="L961" s="411" t="str">
        <f t="shared" si="10"/>
        <v/>
      </c>
      <c r="M961" s="407" t="str">
        <f t="shared" si="2"/>
        <v/>
      </c>
      <c r="N961" s="407">
        <f t="shared" si="3"/>
        <v>0</v>
      </c>
      <c r="O961" s="407" t="str">
        <f t="shared" si="4"/>
        <v/>
      </c>
      <c r="P961" s="1"/>
    </row>
    <row r="962" ht="12.75" customHeight="1">
      <c r="A962" s="1">
        <v>951.0</v>
      </c>
      <c r="B962" s="408" t="str">
        <f t="shared" si="5"/>
        <v/>
      </c>
      <c r="C962" s="408">
        <f t="shared" si="6"/>
        <v>0</v>
      </c>
      <c r="D962" s="408" t="str">
        <f t="shared" si="7"/>
        <v/>
      </c>
      <c r="E962" s="176" t="str">
        <f t="shared" si="8"/>
        <v/>
      </c>
      <c r="F962" s="408" t="str">
        <f t="shared" si="11"/>
        <v/>
      </c>
      <c r="G962" s="408" t="str">
        <f t="shared" si="12"/>
        <v/>
      </c>
      <c r="H962" s="410">
        <f>IF(K962&gt;='Pro Forma Detail'!D$66,'Pro Forma Detail'!D$67,'Debt ReFi'!$B$5)</f>
        <v>0.0275</v>
      </c>
      <c r="I962" s="1" t="str">
        <f t="shared" si="1"/>
        <v/>
      </c>
      <c r="J962" s="406">
        <f t="shared" si="13"/>
        <v>74571</v>
      </c>
      <c r="K962" s="105">
        <f t="shared" si="9"/>
        <v>84</v>
      </c>
      <c r="L962" s="411" t="str">
        <f t="shared" si="10"/>
        <v/>
      </c>
      <c r="M962" s="407" t="str">
        <f t="shared" si="2"/>
        <v/>
      </c>
      <c r="N962" s="407">
        <f t="shared" si="3"/>
        <v>0</v>
      </c>
      <c r="O962" s="407" t="str">
        <f t="shared" si="4"/>
        <v/>
      </c>
      <c r="P962" s="1"/>
    </row>
    <row r="963" ht="12.75" customHeight="1">
      <c r="A963" s="1">
        <v>952.0</v>
      </c>
      <c r="B963" s="408" t="str">
        <f t="shared" si="5"/>
        <v/>
      </c>
      <c r="C963" s="408">
        <f t="shared" si="6"/>
        <v>0</v>
      </c>
      <c r="D963" s="408" t="str">
        <f t="shared" si="7"/>
        <v/>
      </c>
      <c r="E963" s="176" t="str">
        <f t="shared" si="8"/>
        <v/>
      </c>
      <c r="F963" s="408" t="str">
        <f t="shared" si="11"/>
        <v/>
      </c>
      <c r="G963" s="408" t="str">
        <f t="shared" si="12"/>
        <v/>
      </c>
      <c r="H963" s="410">
        <f>IF(K963&gt;='Pro Forma Detail'!D$66,'Pro Forma Detail'!D$67,'Debt ReFi'!$B$5)</f>
        <v>0.0275</v>
      </c>
      <c r="I963" s="1" t="str">
        <f t="shared" si="1"/>
        <v/>
      </c>
      <c r="J963" s="406">
        <f t="shared" si="13"/>
        <v>74602</v>
      </c>
      <c r="K963" s="105">
        <f t="shared" si="9"/>
        <v>84</v>
      </c>
      <c r="L963" s="411" t="str">
        <f t="shared" si="10"/>
        <v/>
      </c>
      <c r="M963" s="407" t="str">
        <f t="shared" si="2"/>
        <v/>
      </c>
      <c r="N963" s="407">
        <f t="shared" si="3"/>
        <v>0</v>
      </c>
      <c r="O963" s="407" t="str">
        <f t="shared" si="4"/>
        <v/>
      </c>
      <c r="P963" s="1"/>
    </row>
    <row r="964" ht="12.75" customHeight="1">
      <c r="A964" s="1">
        <v>953.0</v>
      </c>
      <c r="B964" s="408" t="str">
        <f t="shared" si="5"/>
        <v/>
      </c>
      <c r="C964" s="408">
        <f t="shared" si="6"/>
        <v>0</v>
      </c>
      <c r="D964" s="408" t="str">
        <f t="shared" si="7"/>
        <v/>
      </c>
      <c r="E964" s="176" t="str">
        <f t="shared" si="8"/>
        <v/>
      </c>
      <c r="F964" s="408" t="str">
        <f t="shared" si="11"/>
        <v/>
      </c>
      <c r="G964" s="408" t="str">
        <f t="shared" si="12"/>
        <v/>
      </c>
      <c r="H964" s="410">
        <f>IF(K964&gt;='Pro Forma Detail'!D$66,'Pro Forma Detail'!D$67,'Debt ReFi'!$B$5)</f>
        <v>0.0275</v>
      </c>
      <c r="I964" s="1" t="str">
        <f t="shared" si="1"/>
        <v/>
      </c>
      <c r="J964" s="406">
        <f t="shared" si="13"/>
        <v>74632</v>
      </c>
      <c r="K964" s="105">
        <f t="shared" si="9"/>
        <v>84</v>
      </c>
      <c r="L964" s="411" t="str">
        <f t="shared" si="10"/>
        <v/>
      </c>
      <c r="M964" s="407" t="str">
        <f t="shared" si="2"/>
        <v/>
      </c>
      <c r="N964" s="407">
        <f t="shared" si="3"/>
        <v>0</v>
      </c>
      <c r="O964" s="407" t="str">
        <f t="shared" si="4"/>
        <v/>
      </c>
      <c r="P964" s="1"/>
    </row>
    <row r="965" ht="12.75" customHeight="1">
      <c r="A965" s="1">
        <v>954.0</v>
      </c>
      <c r="B965" s="408" t="str">
        <f t="shared" si="5"/>
        <v/>
      </c>
      <c r="C965" s="408">
        <f t="shared" si="6"/>
        <v>0</v>
      </c>
      <c r="D965" s="408" t="str">
        <f t="shared" si="7"/>
        <v/>
      </c>
      <c r="E965" s="176" t="str">
        <f t="shared" si="8"/>
        <v/>
      </c>
      <c r="F965" s="408" t="str">
        <f t="shared" si="11"/>
        <v/>
      </c>
      <c r="G965" s="408" t="str">
        <f t="shared" si="12"/>
        <v/>
      </c>
      <c r="H965" s="410">
        <f>IF(K965&gt;='Pro Forma Detail'!D$66,'Pro Forma Detail'!D$67,'Debt ReFi'!$B$5)</f>
        <v>0.0275</v>
      </c>
      <c r="I965" s="1" t="str">
        <f t="shared" si="1"/>
        <v/>
      </c>
      <c r="J965" s="406">
        <f t="shared" si="13"/>
        <v>74663</v>
      </c>
      <c r="K965" s="105">
        <f t="shared" si="9"/>
        <v>84</v>
      </c>
      <c r="L965" s="411" t="str">
        <f t="shared" si="10"/>
        <v/>
      </c>
      <c r="M965" s="407" t="str">
        <f t="shared" si="2"/>
        <v/>
      </c>
      <c r="N965" s="407">
        <f t="shared" si="3"/>
        <v>0</v>
      </c>
      <c r="O965" s="407" t="str">
        <f t="shared" si="4"/>
        <v/>
      </c>
      <c r="P965" s="1"/>
    </row>
    <row r="966" ht="12.75" customHeight="1">
      <c r="A966" s="1">
        <v>955.0</v>
      </c>
      <c r="B966" s="408" t="str">
        <f t="shared" si="5"/>
        <v/>
      </c>
      <c r="C966" s="408">
        <f t="shared" si="6"/>
        <v>0</v>
      </c>
      <c r="D966" s="408" t="str">
        <f t="shared" si="7"/>
        <v/>
      </c>
      <c r="E966" s="176" t="str">
        <f t="shared" si="8"/>
        <v/>
      </c>
      <c r="F966" s="408" t="str">
        <f t="shared" si="11"/>
        <v/>
      </c>
      <c r="G966" s="408" t="str">
        <f t="shared" si="12"/>
        <v/>
      </c>
      <c r="H966" s="410">
        <f>IF(K966&gt;='Pro Forma Detail'!D$66,'Pro Forma Detail'!D$67,'Debt ReFi'!$B$5)</f>
        <v>0.0275</v>
      </c>
      <c r="I966" s="1" t="str">
        <f t="shared" si="1"/>
        <v/>
      </c>
      <c r="J966" s="406">
        <f t="shared" si="13"/>
        <v>74693</v>
      </c>
      <c r="K966" s="105">
        <f t="shared" si="9"/>
        <v>84</v>
      </c>
      <c r="L966" s="411" t="str">
        <f t="shared" si="10"/>
        <v/>
      </c>
      <c r="M966" s="407" t="str">
        <f t="shared" si="2"/>
        <v/>
      </c>
      <c r="N966" s="407">
        <f t="shared" si="3"/>
        <v>0</v>
      </c>
      <c r="O966" s="407" t="str">
        <f t="shared" si="4"/>
        <v/>
      </c>
      <c r="P966" s="1"/>
    </row>
    <row r="967" ht="12.75" customHeight="1">
      <c r="A967" s="1">
        <v>956.0</v>
      </c>
      <c r="B967" s="408" t="str">
        <f t="shared" si="5"/>
        <v/>
      </c>
      <c r="C967" s="408">
        <f t="shared" si="6"/>
        <v>0</v>
      </c>
      <c r="D967" s="408" t="str">
        <f t="shared" si="7"/>
        <v/>
      </c>
      <c r="E967" s="176" t="str">
        <f t="shared" si="8"/>
        <v/>
      </c>
      <c r="F967" s="408" t="str">
        <f t="shared" si="11"/>
        <v/>
      </c>
      <c r="G967" s="408" t="str">
        <f t="shared" si="12"/>
        <v/>
      </c>
      <c r="H967" s="410">
        <f>IF(K967&gt;='Pro Forma Detail'!D$66,'Pro Forma Detail'!D$67,'Debt ReFi'!$B$5)</f>
        <v>0.0275</v>
      </c>
      <c r="I967" s="1" t="str">
        <f t="shared" si="1"/>
        <v/>
      </c>
      <c r="J967" s="406">
        <f t="shared" si="13"/>
        <v>74724</v>
      </c>
      <c r="K967" s="105">
        <f t="shared" si="9"/>
        <v>84</v>
      </c>
      <c r="L967" s="411" t="str">
        <f t="shared" si="10"/>
        <v/>
      </c>
      <c r="M967" s="407" t="str">
        <f t="shared" si="2"/>
        <v/>
      </c>
      <c r="N967" s="407">
        <f t="shared" si="3"/>
        <v>0</v>
      </c>
      <c r="O967" s="407" t="str">
        <f t="shared" si="4"/>
        <v/>
      </c>
      <c r="P967" s="1"/>
    </row>
    <row r="968" ht="12.75" customHeight="1">
      <c r="A968" s="1">
        <v>957.0</v>
      </c>
      <c r="B968" s="408" t="str">
        <f t="shared" si="5"/>
        <v/>
      </c>
      <c r="C968" s="408">
        <f t="shared" si="6"/>
        <v>0</v>
      </c>
      <c r="D968" s="408" t="str">
        <f t="shared" si="7"/>
        <v/>
      </c>
      <c r="E968" s="176" t="str">
        <f t="shared" si="8"/>
        <v/>
      </c>
      <c r="F968" s="408" t="str">
        <f t="shared" si="11"/>
        <v/>
      </c>
      <c r="G968" s="408" t="str">
        <f t="shared" si="12"/>
        <v/>
      </c>
      <c r="H968" s="410">
        <f>IF(K968&gt;='Pro Forma Detail'!D$66,'Pro Forma Detail'!D$67,'Debt ReFi'!$B$5)</f>
        <v>0.0275</v>
      </c>
      <c r="I968" s="1" t="str">
        <f t="shared" si="1"/>
        <v/>
      </c>
      <c r="J968" s="406">
        <f t="shared" si="13"/>
        <v>74755</v>
      </c>
      <c r="K968" s="105">
        <f t="shared" si="9"/>
        <v>84</v>
      </c>
      <c r="L968" s="411" t="str">
        <f t="shared" si="10"/>
        <v/>
      </c>
      <c r="M968" s="407" t="str">
        <f t="shared" si="2"/>
        <v/>
      </c>
      <c r="N968" s="407">
        <f t="shared" si="3"/>
        <v>0</v>
      </c>
      <c r="O968" s="407" t="str">
        <f t="shared" si="4"/>
        <v/>
      </c>
      <c r="P968" s="1"/>
    </row>
    <row r="969" ht="12.75" customHeight="1">
      <c r="A969" s="1">
        <v>958.0</v>
      </c>
      <c r="B969" s="408" t="str">
        <f t="shared" si="5"/>
        <v/>
      </c>
      <c r="C969" s="408">
        <f t="shared" si="6"/>
        <v>0</v>
      </c>
      <c r="D969" s="408" t="str">
        <f t="shared" si="7"/>
        <v/>
      </c>
      <c r="E969" s="176" t="str">
        <f t="shared" si="8"/>
        <v/>
      </c>
      <c r="F969" s="408" t="str">
        <f t="shared" si="11"/>
        <v/>
      </c>
      <c r="G969" s="408" t="str">
        <f t="shared" si="12"/>
        <v/>
      </c>
      <c r="H969" s="410">
        <f>IF(K969&gt;='Pro Forma Detail'!D$66,'Pro Forma Detail'!D$67,'Debt ReFi'!$B$5)</f>
        <v>0.0275</v>
      </c>
      <c r="I969" s="1" t="str">
        <f t="shared" si="1"/>
        <v/>
      </c>
      <c r="J969" s="406">
        <f t="shared" si="13"/>
        <v>74785</v>
      </c>
      <c r="K969" s="105">
        <f t="shared" si="9"/>
        <v>84</v>
      </c>
      <c r="L969" s="411" t="str">
        <f t="shared" si="10"/>
        <v/>
      </c>
      <c r="M969" s="407" t="str">
        <f t="shared" si="2"/>
        <v/>
      </c>
      <c r="N969" s="407">
        <f t="shared" si="3"/>
        <v>0</v>
      </c>
      <c r="O969" s="407" t="str">
        <f t="shared" si="4"/>
        <v/>
      </c>
      <c r="P969" s="1"/>
    </row>
    <row r="970" ht="12.75" customHeight="1">
      <c r="A970" s="1">
        <v>959.0</v>
      </c>
      <c r="B970" s="408" t="str">
        <f t="shared" si="5"/>
        <v/>
      </c>
      <c r="C970" s="408">
        <f t="shared" si="6"/>
        <v>0</v>
      </c>
      <c r="D970" s="408" t="str">
        <f t="shared" si="7"/>
        <v/>
      </c>
      <c r="E970" s="176" t="str">
        <f t="shared" si="8"/>
        <v/>
      </c>
      <c r="F970" s="408" t="str">
        <f t="shared" si="11"/>
        <v/>
      </c>
      <c r="G970" s="408" t="str">
        <f t="shared" si="12"/>
        <v/>
      </c>
      <c r="H970" s="410">
        <f>IF(K970&gt;='Pro Forma Detail'!D$66,'Pro Forma Detail'!D$67,'Debt ReFi'!$B$5)</f>
        <v>0.0275</v>
      </c>
      <c r="I970" s="1" t="str">
        <f t="shared" si="1"/>
        <v/>
      </c>
      <c r="J970" s="406">
        <f t="shared" si="13"/>
        <v>74816</v>
      </c>
      <c r="K970" s="105">
        <f t="shared" si="9"/>
        <v>84</v>
      </c>
      <c r="L970" s="411" t="str">
        <f t="shared" si="10"/>
        <v/>
      </c>
      <c r="M970" s="407" t="str">
        <f t="shared" si="2"/>
        <v/>
      </c>
      <c r="N970" s="407">
        <f t="shared" si="3"/>
        <v>0</v>
      </c>
      <c r="O970" s="407" t="str">
        <f t="shared" si="4"/>
        <v/>
      </c>
      <c r="P970" s="1"/>
    </row>
    <row r="971" ht="12.75" customHeight="1">
      <c r="A971" s="1">
        <v>960.0</v>
      </c>
      <c r="B971" s="408" t="str">
        <f t="shared" si="5"/>
        <v/>
      </c>
      <c r="C971" s="408">
        <f t="shared" si="6"/>
        <v>0</v>
      </c>
      <c r="D971" s="408" t="str">
        <f t="shared" si="7"/>
        <v/>
      </c>
      <c r="E971" s="176" t="str">
        <f t="shared" si="8"/>
        <v/>
      </c>
      <c r="F971" s="408" t="str">
        <f t="shared" si="11"/>
        <v/>
      </c>
      <c r="G971" s="408" t="str">
        <f t="shared" si="12"/>
        <v/>
      </c>
      <c r="H971" s="410">
        <f>IF(K971&gt;='Pro Forma Detail'!D$66,'Pro Forma Detail'!D$67,'Debt ReFi'!$B$5)</f>
        <v>0.0275</v>
      </c>
      <c r="I971" s="1" t="str">
        <f t="shared" si="1"/>
        <v/>
      </c>
      <c r="J971" s="406">
        <f t="shared" si="13"/>
        <v>74846</v>
      </c>
      <c r="K971" s="105">
        <f t="shared" si="9"/>
        <v>84</v>
      </c>
      <c r="L971" s="411" t="str">
        <f t="shared" si="10"/>
        <v/>
      </c>
      <c r="M971" s="407" t="str">
        <f t="shared" si="2"/>
        <v/>
      </c>
      <c r="N971" s="407">
        <f t="shared" si="3"/>
        <v>0</v>
      </c>
      <c r="O971" s="407" t="str">
        <f t="shared" si="4"/>
        <v/>
      </c>
      <c r="P971" s="1"/>
    </row>
    <row r="972" ht="12.75" customHeight="1">
      <c r="A972" s="1">
        <v>961.0</v>
      </c>
      <c r="B972" s="408" t="str">
        <f t="shared" si="5"/>
        <v/>
      </c>
      <c r="C972" s="408">
        <f t="shared" si="6"/>
        <v>0</v>
      </c>
      <c r="D972" s="408" t="str">
        <f t="shared" si="7"/>
        <v/>
      </c>
      <c r="E972" s="176" t="str">
        <f t="shared" si="8"/>
        <v/>
      </c>
      <c r="F972" s="408" t="str">
        <f t="shared" si="11"/>
        <v/>
      </c>
      <c r="G972" s="408" t="str">
        <f t="shared" si="12"/>
        <v/>
      </c>
      <c r="H972" s="410">
        <f>IF(K972&gt;='Pro Forma Detail'!D$66,'Pro Forma Detail'!D$67,'Debt ReFi'!$B$5)</f>
        <v>0.0275</v>
      </c>
      <c r="I972" s="1" t="str">
        <f t="shared" si="1"/>
        <v/>
      </c>
      <c r="J972" s="406">
        <f t="shared" si="13"/>
        <v>74877</v>
      </c>
      <c r="K972" s="105">
        <f t="shared" si="9"/>
        <v>85</v>
      </c>
      <c r="L972" s="411" t="str">
        <f t="shared" si="10"/>
        <v/>
      </c>
      <c r="M972" s="407" t="str">
        <f t="shared" si="2"/>
        <v/>
      </c>
      <c r="N972" s="407">
        <f t="shared" si="3"/>
        <v>0</v>
      </c>
      <c r="O972" s="407" t="str">
        <f t="shared" si="4"/>
        <v/>
      </c>
      <c r="P972" s="1"/>
    </row>
    <row r="973" ht="12.75" customHeight="1">
      <c r="A973" s="1">
        <v>962.0</v>
      </c>
      <c r="B973" s="408" t="str">
        <f t="shared" si="5"/>
        <v/>
      </c>
      <c r="C973" s="408">
        <f t="shared" si="6"/>
        <v>0</v>
      </c>
      <c r="D973" s="408" t="str">
        <f t="shared" si="7"/>
        <v/>
      </c>
      <c r="E973" s="176" t="str">
        <f t="shared" si="8"/>
        <v/>
      </c>
      <c r="F973" s="408" t="str">
        <f t="shared" si="11"/>
        <v/>
      </c>
      <c r="G973" s="408" t="str">
        <f t="shared" si="12"/>
        <v/>
      </c>
      <c r="H973" s="410">
        <f>IF(K973&gt;='Pro Forma Detail'!D$66,'Pro Forma Detail'!D$67,'Debt ReFi'!$B$5)</f>
        <v>0.0275</v>
      </c>
      <c r="I973" s="1" t="str">
        <f t="shared" si="1"/>
        <v/>
      </c>
      <c r="J973" s="406">
        <f t="shared" si="13"/>
        <v>74908</v>
      </c>
      <c r="K973" s="105">
        <f t="shared" si="9"/>
        <v>85</v>
      </c>
      <c r="L973" s="411" t="str">
        <f t="shared" si="10"/>
        <v/>
      </c>
      <c r="M973" s="407" t="str">
        <f t="shared" si="2"/>
        <v/>
      </c>
      <c r="N973" s="407">
        <f t="shared" si="3"/>
        <v>0</v>
      </c>
      <c r="O973" s="407" t="str">
        <f t="shared" si="4"/>
        <v/>
      </c>
      <c r="P973" s="1"/>
    </row>
    <row r="974" ht="12.75" customHeight="1">
      <c r="A974" s="1">
        <v>963.0</v>
      </c>
      <c r="B974" s="408" t="str">
        <f t="shared" si="5"/>
        <v/>
      </c>
      <c r="C974" s="408">
        <f t="shared" si="6"/>
        <v>0</v>
      </c>
      <c r="D974" s="408" t="str">
        <f t="shared" si="7"/>
        <v/>
      </c>
      <c r="E974" s="176" t="str">
        <f t="shared" si="8"/>
        <v/>
      </c>
      <c r="F974" s="408" t="str">
        <f t="shared" si="11"/>
        <v/>
      </c>
      <c r="G974" s="408" t="str">
        <f t="shared" si="12"/>
        <v/>
      </c>
      <c r="H974" s="410">
        <f>IF(K974&gt;='Pro Forma Detail'!D$66,'Pro Forma Detail'!D$67,'Debt ReFi'!$B$5)</f>
        <v>0.0275</v>
      </c>
      <c r="I974" s="1" t="str">
        <f t="shared" si="1"/>
        <v/>
      </c>
      <c r="J974" s="406">
        <f t="shared" si="13"/>
        <v>74936</v>
      </c>
      <c r="K974" s="105">
        <f t="shared" si="9"/>
        <v>85</v>
      </c>
      <c r="L974" s="411" t="str">
        <f t="shared" si="10"/>
        <v/>
      </c>
      <c r="M974" s="407" t="str">
        <f t="shared" si="2"/>
        <v/>
      </c>
      <c r="N974" s="407">
        <f t="shared" si="3"/>
        <v>0</v>
      </c>
      <c r="O974" s="407" t="str">
        <f t="shared" si="4"/>
        <v/>
      </c>
      <c r="P974" s="1"/>
    </row>
    <row r="975" ht="12.75" customHeight="1">
      <c r="A975" s="1">
        <v>964.0</v>
      </c>
      <c r="B975" s="408" t="str">
        <f t="shared" si="5"/>
        <v/>
      </c>
      <c r="C975" s="408">
        <f t="shared" si="6"/>
        <v>0</v>
      </c>
      <c r="D975" s="408" t="str">
        <f t="shared" si="7"/>
        <v/>
      </c>
      <c r="E975" s="176" t="str">
        <f t="shared" si="8"/>
        <v/>
      </c>
      <c r="F975" s="408" t="str">
        <f t="shared" si="11"/>
        <v/>
      </c>
      <c r="G975" s="408" t="str">
        <f t="shared" si="12"/>
        <v/>
      </c>
      <c r="H975" s="410">
        <f>IF(K975&gt;='Pro Forma Detail'!D$66,'Pro Forma Detail'!D$67,'Debt ReFi'!$B$5)</f>
        <v>0.0275</v>
      </c>
      <c r="I975" s="1" t="str">
        <f t="shared" si="1"/>
        <v/>
      </c>
      <c r="J975" s="406">
        <f t="shared" si="13"/>
        <v>74967</v>
      </c>
      <c r="K975" s="105">
        <f t="shared" si="9"/>
        <v>85</v>
      </c>
      <c r="L975" s="411" t="str">
        <f t="shared" si="10"/>
        <v/>
      </c>
      <c r="M975" s="407" t="str">
        <f t="shared" si="2"/>
        <v/>
      </c>
      <c r="N975" s="407">
        <f t="shared" si="3"/>
        <v>0</v>
      </c>
      <c r="O975" s="407" t="str">
        <f t="shared" si="4"/>
        <v/>
      </c>
      <c r="P975" s="1"/>
    </row>
    <row r="976" ht="12.75" customHeight="1">
      <c r="A976" s="1">
        <v>965.0</v>
      </c>
      <c r="B976" s="408" t="str">
        <f t="shared" si="5"/>
        <v/>
      </c>
      <c r="C976" s="408">
        <f t="shared" si="6"/>
        <v>0</v>
      </c>
      <c r="D976" s="408" t="str">
        <f t="shared" si="7"/>
        <v/>
      </c>
      <c r="E976" s="176" t="str">
        <f t="shared" si="8"/>
        <v/>
      </c>
      <c r="F976" s="408" t="str">
        <f t="shared" si="11"/>
        <v/>
      </c>
      <c r="G976" s="408" t="str">
        <f t="shared" si="12"/>
        <v/>
      </c>
      <c r="H976" s="410">
        <f>IF(K976&gt;='Pro Forma Detail'!D$66,'Pro Forma Detail'!D$67,'Debt ReFi'!$B$5)</f>
        <v>0.0275</v>
      </c>
      <c r="I976" s="1" t="str">
        <f t="shared" si="1"/>
        <v/>
      </c>
      <c r="J976" s="406">
        <f t="shared" si="13"/>
        <v>74997</v>
      </c>
      <c r="K976" s="105">
        <f t="shared" si="9"/>
        <v>85</v>
      </c>
      <c r="L976" s="411" t="str">
        <f t="shared" si="10"/>
        <v/>
      </c>
      <c r="M976" s="407" t="str">
        <f t="shared" si="2"/>
        <v/>
      </c>
      <c r="N976" s="407">
        <f t="shared" si="3"/>
        <v>0</v>
      </c>
      <c r="O976" s="407" t="str">
        <f t="shared" si="4"/>
        <v/>
      </c>
      <c r="P976" s="1"/>
    </row>
    <row r="977" ht="12.75" customHeight="1">
      <c r="A977" s="1">
        <v>966.0</v>
      </c>
      <c r="B977" s="408" t="str">
        <f t="shared" si="5"/>
        <v/>
      </c>
      <c r="C977" s="408">
        <f t="shared" si="6"/>
        <v>0</v>
      </c>
      <c r="D977" s="408" t="str">
        <f t="shared" si="7"/>
        <v/>
      </c>
      <c r="E977" s="176" t="str">
        <f t="shared" si="8"/>
        <v/>
      </c>
      <c r="F977" s="408" t="str">
        <f t="shared" si="11"/>
        <v/>
      </c>
      <c r="G977" s="408" t="str">
        <f t="shared" si="12"/>
        <v/>
      </c>
      <c r="H977" s="410">
        <f>IF(K977&gt;='Pro Forma Detail'!D$66,'Pro Forma Detail'!D$67,'Debt ReFi'!$B$5)</f>
        <v>0.0275</v>
      </c>
      <c r="I977" s="1" t="str">
        <f t="shared" si="1"/>
        <v/>
      </c>
      <c r="J977" s="406">
        <f t="shared" si="13"/>
        <v>75028</v>
      </c>
      <c r="K977" s="105">
        <f t="shared" si="9"/>
        <v>85</v>
      </c>
      <c r="L977" s="411" t="str">
        <f t="shared" si="10"/>
        <v/>
      </c>
      <c r="M977" s="407" t="str">
        <f t="shared" si="2"/>
        <v/>
      </c>
      <c r="N977" s="407">
        <f t="shared" si="3"/>
        <v>0</v>
      </c>
      <c r="O977" s="407" t="str">
        <f t="shared" si="4"/>
        <v/>
      </c>
      <c r="P977" s="1"/>
    </row>
    <row r="978" ht="12.75" customHeight="1">
      <c r="A978" s="1">
        <v>967.0</v>
      </c>
      <c r="B978" s="408" t="str">
        <f t="shared" si="5"/>
        <v/>
      </c>
      <c r="C978" s="408">
        <f t="shared" si="6"/>
        <v>0</v>
      </c>
      <c r="D978" s="408" t="str">
        <f t="shared" si="7"/>
        <v/>
      </c>
      <c r="E978" s="176" t="str">
        <f t="shared" si="8"/>
        <v/>
      </c>
      <c r="F978" s="408" t="str">
        <f t="shared" si="11"/>
        <v/>
      </c>
      <c r="G978" s="408" t="str">
        <f t="shared" si="12"/>
        <v/>
      </c>
      <c r="H978" s="410">
        <f>IF(K978&gt;='Pro Forma Detail'!D$66,'Pro Forma Detail'!D$67,'Debt ReFi'!$B$5)</f>
        <v>0.0275</v>
      </c>
      <c r="I978" s="1" t="str">
        <f t="shared" si="1"/>
        <v/>
      </c>
      <c r="J978" s="406">
        <f t="shared" si="13"/>
        <v>75058</v>
      </c>
      <c r="K978" s="105">
        <f t="shared" si="9"/>
        <v>85</v>
      </c>
      <c r="L978" s="411" t="str">
        <f t="shared" si="10"/>
        <v/>
      </c>
      <c r="M978" s="407" t="str">
        <f t="shared" si="2"/>
        <v/>
      </c>
      <c r="N978" s="407">
        <f t="shared" si="3"/>
        <v>0</v>
      </c>
      <c r="O978" s="407" t="str">
        <f t="shared" si="4"/>
        <v/>
      </c>
      <c r="P978" s="1"/>
    </row>
    <row r="979" ht="12.75" customHeight="1">
      <c r="A979" s="1">
        <v>968.0</v>
      </c>
      <c r="B979" s="408" t="str">
        <f t="shared" si="5"/>
        <v/>
      </c>
      <c r="C979" s="408">
        <f t="shared" si="6"/>
        <v>0</v>
      </c>
      <c r="D979" s="408" t="str">
        <f t="shared" si="7"/>
        <v/>
      </c>
      <c r="E979" s="176" t="str">
        <f t="shared" si="8"/>
        <v/>
      </c>
      <c r="F979" s="408" t="str">
        <f t="shared" si="11"/>
        <v/>
      </c>
      <c r="G979" s="408" t="str">
        <f t="shared" si="12"/>
        <v/>
      </c>
      <c r="H979" s="410">
        <f>IF(K979&gt;='Pro Forma Detail'!D$66,'Pro Forma Detail'!D$67,'Debt ReFi'!$B$5)</f>
        <v>0.0275</v>
      </c>
      <c r="I979" s="1" t="str">
        <f t="shared" si="1"/>
        <v/>
      </c>
      <c r="J979" s="406">
        <f t="shared" si="13"/>
        <v>75089</v>
      </c>
      <c r="K979" s="105">
        <f t="shared" si="9"/>
        <v>85</v>
      </c>
      <c r="L979" s="411" t="str">
        <f t="shared" si="10"/>
        <v/>
      </c>
      <c r="M979" s="407" t="str">
        <f t="shared" si="2"/>
        <v/>
      </c>
      <c r="N979" s="407">
        <f t="shared" si="3"/>
        <v>0</v>
      </c>
      <c r="O979" s="407" t="str">
        <f t="shared" si="4"/>
        <v/>
      </c>
      <c r="P979" s="1"/>
    </row>
    <row r="980" ht="12.75" customHeight="1">
      <c r="A980" s="1">
        <v>969.0</v>
      </c>
      <c r="B980" s="408" t="str">
        <f t="shared" si="5"/>
        <v/>
      </c>
      <c r="C980" s="408">
        <f t="shared" si="6"/>
        <v>0</v>
      </c>
      <c r="D980" s="408" t="str">
        <f t="shared" si="7"/>
        <v/>
      </c>
      <c r="E980" s="176" t="str">
        <f t="shared" si="8"/>
        <v/>
      </c>
      <c r="F980" s="408" t="str">
        <f t="shared" si="11"/>
        <v/>
      </c>
      <c r="G980" s="408" t="str">
        <f t="shared" si="12"/>
        <v/>
      </c>
      <c r="H980" s="410">
        <f>IF(K980&gt;='Pro Forma Detail'!D$66,'Pro Forma Detail'!D$67,'Debt ReFi'!$B$5)</f>
        <v>0.0275</v>
      </c>
      <c r="I980" s="1" t="str">
        <f t="shared" si="1"/>
        <v/>
      </c>
      <c r="J980" s="406">
        <f t="shared" si="13"/>
        <v>75120</v>
      </c>
      <c r="K980" s="105">
        <f t="shared" si="9"/>
        <v>85</v>
      </c>
      <c r="L980" s="411" t="str">
        <f t="shared" si="10"/>
        <v/>
      </c>
      <c r="M980" s="407" t="str">
        <f t="shared" si="2"/>
        <v/>
      </c>
      <c r="N980" s="407">
        <f t="shared" si="3"/>
        <v>0</v>
      </c>
      <c r="O980" s="407" t="str">
        <f t="shared" si="4"/>
        <v/>
      </c>
      <c r="P980" s="1"/>
    </row>
    <row r="981" ht="12.75" customHeight="1">
      <c r="A981" s="1">
        <v>970.0</v>
      </c>
      <c r="B981" s="408" t="str">
        <f t="shared" si="5"/>
        <v/>
      </c>
      <c r="C981" s="408">
        <f t="shared" si="6"/>
        <v>0</v>
      </c>
      <c r="D981" s="408" t="str">
        <f t="shared" si="7"/>
        <v/>
      </c>
      <c r="E981" s="176" t="str">
        <f t="shared" si="8"/>
        <v/>
      </c>
      <c r="F981" s="408" t="str">
        <f t="shared" si="11"/>
        <v/>
      </c>
      <c r="G981" s="408" t="str">
        <f t="shared" si="12"/>
        <v/>
      </c>
      <c r="H981" s="410">
        <f>IF(K981&gt;='Pro Forma Detail'!D$66,'Pro Forma Detail'!D$67,'Debt ReFi'!$B$5)</f>
        <v>0.0275</v>
      </c>
      <c r="I981" s="1" t="str">
        <f t="shared" si="1"/>
        <v/>
      </c>
      <c r="J981" s="406">
        <f t="shared" si="13"/>
        <v>75150</v>
      </c>
      <c r="K981" s="105">
        <f t="shared" si="9"/>
        <v>85</v>
      </c>
      <c r="L981" s="411" t="str">
        <f t="shared" si="10"/>
        <v/>
      </c>
      <c r="M981" s="407" t="str">
        <f t="shared" si="2"/>
        <v/>
      </c>
      <c r="N981" s="407">
        <f t="shared" si="3"/>
        <v>0</v>
      </c>
      <c r="O981" s="407" t="str">
        <f t="shared" si="4"/>
        <v/>
      </c>
      <c r="P981" s="1"/>
    </row>
    <row r="982" ht="12.75" customHeight="1">
      <c r="A982" s="1">
        <v>971.0</v>
      </c>
      <c r="B982" s="408" t="str">
        <f t="shared" si="5"/>
        <v/>
      </c>
      <c r="C982" s="408">
        <f t="shared" si="6"/>
        <v>0</v>
      </c>
      <c r="D982" s="408" t="str">
        <f t="shared" si="7"/>
        <v/>
      </c>
      <c r="E982" s="176" t="str">
        <f t="shared" si="8"/>
        <v/>
      </c>
      <c r="F982" s="408" t="str">
        <f t="shared" si="11"/>
        <v/>
      </c>
      <c r="G982" s="408" t="str">
        <f t="shared" si="12"/>
        <v/>
      </c>
      <c r="H982" s="410">
        <f>IF(K982&gt;='Pro Forma Detail'!D$66,'Pro Forma Detail'!D$67,'Debt ReFi'!$B$5)</f>
        <v>0.0275</v>
      </c>
      <c r="I982" s="1" t="str">
        <f t="shared" si="1"/>
        <v/>
      </c>
      <c r="J982" s="406">
        <f t="shared" si="13"/>
        <v>75181</v>
      </c>
      <c r="K982" s="105">
        <f t="shared" si="9"/>
        <v>85</v>
      </c>
      <c r="L982" s="411" t="str">
        <f t="shared" si="10"/>
        <v/>
      </c>
      <c r="M982" s="407" t="str">
        <f t="shared" si="2"/>
        <v/>
      </c>
      <c r="N982" s="407">
        <f t="shared" si="3"/>
        <v>0</v>
      </c>
      <c r="O982" s="407" t="str">
        <f t="shared" si="4"/>
        <v/>
      </c>
      <c r="P982" s="1"/>
    </row>
    <row r="983" ht="12.75" customHeight="1">
      <c r="A983" s="1">
        <v>972.0</v>
      </c>
      <c r="B983" s="408" t="str">
        <f t="shared" si="5"/>
        <v/>
      </c>
      <c r="C983" s="408">
        <f t="shared" si="6"/>
        <v>0</v>
      </c>
      <c r="D983" s="408" t="str">
        <f t="shared" si="7"/>
        <v/>
      </c>
      <c r="E983" s="176" t="str">
        <f t="shared" si="8"/>
        <v/>
      </c>
      <c r="F983" s="408" t="str">
        <f t="shared" si="11"/>
        <v/>
      </c>
      <c r="G983" s="408" t="str">
        <f t="shared" si="12"/>
        <v/>
      </c>
      <c r="H983" s="410">
        <f>IF(K983&gt;='Pro Forma Detail'!D$66,'Pro Forma Detail'!D$67,'Debt ReFi'!$B$5)</f>
        <v>0.0275</v>
      </c>
      <c r="I983" s="1" t="str">
        <f t="shared" si="1"/>
        <v/>
      </c>
      <c r="J983" s="406">
        <f t="shared" si="13"/>
        <v>75211</v>
      </c>
      <c r="K983" s="105">
        <f t="shared" si="9"/>
        <v>85</v>
      </c>
      <c r="L983" s="411" t="str">
        <f t="shared" si="10"/>
        <v/>
      </c>
      <c r="M983" s="407" t="str">
        <f t="shared" si="2"/>
        <v/>
      </c>
      <c r="N983" s="407">
        <f t="shared" si="3"/>
        <v>0</v>
      </c>
      <c r="O983" s="407" t="str">
        <f t="shared" si="4"/>
        <v/>
      </c>
      <c r="P983" s="1"/>
    </row>
    <row r="984" ht="12.75" customHeight="1">
      <c r="A984" s="1">
        <v>973.0</v>
      </c>
      <c r="B984" s="408" t="str">
        <f t="shared" si="5"/>
        <v/>
      </c>
      <c r="C984" s="408">
        <f t="shared" si="6"/>
        <v>0</v>
      </c>
      <c r="D984" s="408" t="str">
        <f t="shared" si="7"/>
        <v/>
      </c>
      <c r="E984" s="176" t="str">
        <f t="shared" si="8"/>
        <v/>
      </c>
      <c r="F984" s="408" t="str">
        <f t="shared" si="11"/>
        <v/>
      </c>
      <c r="G984" s="408" t="str">
        <f t="shared" si="12"/>
        <v/>
      </c>
      <c r="H984" s="410">
        <f>IF(K984&gt;='Pro Forma Detail'!D$66,'Pro Forma Detail'!D$67,'Debt ReFi'!$B$5)</f>
        <v>0.0275</v>
      </c>
      <c r="I984" s="1" t="str">
        <f t="shared" si="1"/>
        <v/>
      </c>
      <c r="J984" s="406">
        <f t="shared" si="13"/>
        <v>75242</v>
      </c>
      <c r="K984" s="105">
        <f t="shared" si="9"/>
        <v>86</v>
      </c>
      <c r="L984" s="411" t="str">
        <f t="shared" si="10"/>
        <v/>
      </c>
      <c r="M984" s="407" t="str">
        <f t="shared" si="2"/>
        <v/>
      </c>
      <c r="N984" s="407">
        <f t="shared" si="3"/>
        <v>0</v>
      </c>
      <c r="O984" s="407" t="str">
        <f t="shared" si="4"/>
        <v/>
      </c>
      <c r="P984" s="1"/>
    </row>
    <row r="985" ht="12.75" customHeight="1">
      <c r="A985" s="1">
        <v>974.0</v>
      </c>
      <c r="B985" s="408" t="str">
        <f t="shared" si="5"/>
        <v/>
      </c>
      <c r="C985" s="408">
        <f t="shared" si="6"/>
        <v>0</v>
      </c>
      <c r="D985" s="408" t="str">
        <f t="shared" si="7"/>
        <v/>
      </c>
      <c r="E985" s="176" t="str">
        <f t="shared" si="8"/>
        <v/>
      </c>
      <c r="F985" s="408" t="str">
        <f t="shared" si="11"/>
        <v/>
      </c>
      <c r="G985" s="408" t="str">
        <f t="shared" si="12"/>
        <v/>
      </c>
      <c r="H985" s="410">
        <f>IF(K985&gt;='Pro Forma Detail'!D$66,'Pro Forma Detail'!D$67,'Debt ReFi'!$B$5)</f>
        <v>0.0275</v>
      </c>
      <c r="I985" s="1" t="str">
        <f t="shared" si="1"/>
        <v/>
      </c>
      <c r="J985" s="406">
        <f t="shared" si="13"/>
        <v>75273</v>
      </c>
      <c r="K985" s="105">
        <f t="shared" si="9"/>
        <v>86</v>
      </c>
      <c r="L985" s="411" t="str">
        <f t="shared" si="10"/>
        <v/>
      </c>
      <c r="M985" s="407" t="str">
        <f t="shared" si="2"/>
        <v/>
      </c>
      <c r="N985" s="407">
        <f t="shared" si="3"/>
        <v>0</v>
      </c>
      <c r="O985" s="407" t="str">
        <f t="shared" si="4"/>
        <v/>
      </c>
      <c r="P985" s="1"/>
    </row>
    <row r="986" ht="12.75" customHeight="1">
      <c r="A986" s="1">
        <v>975.0</v>
      </c>
      <c r="B986" s="408" t="str">
        <f t="shared" si="5"/>
        <v/>
      </c>
      <c r="C986" s="408">
        <f t="shared" si="6"/>
        <v>0</v>
      </c>
      <c r="D986" s="408" t="str">
        <f t="shared" si="7"/>
        <v/>
      </c>
      <c r="E986" s="176" t="str">
        <f t="shared" si="8"/>
        <v/>
      </c>
      <c r="F986" s="408" t="str">
        <f t="shared" si="11"/>
        <v/>
      </c>
      <c r="G986" s="408" t="str">
        <f t="shared" si="12"/>
        <v/>
      </c>
      <c r="H986" s="410">
        <f>IF(K986&gt;='Pro Forma Detail'!D$66,'Pro Forma Detail'!D$67,'Debt ReFi'!$B$5)</f>
        <v>0.0275</v>
      </c>
      <c r="I986" s="1" t="str">
        <f t="shared" si="1"/>
        <v/>
      </c>
      <c r="J986" s="406">
        <f t="shared" si="13"/>
        <v>75301</v>
      </c>
      <c r="K986" s="105">
        <f t="shared" si="9"/>
        <v>86</v>
      </c>
      <c r="L986" s="411" t="str">
        <f t="shared" si="10"/>
        <v/>
      </c>
      <c r="M986" s="407" t="str">
        <f t="shared" si="2"/>
        <v/>
      </c>
      <c r="N986" s="407">
        <f t="shared" si="3"/>
        <v>0</v>
      </c>
      <c r="O986" s="407" t="str">
        <f t="shared" si="4"/>
        <v/>
      </c>
      <c r="P986" s="1"/>
    </row>
    <row r="987" ht="12.75" customHeight="1">
      <c r="A987" s="1">
        <v>976.0</v>
      </c>
      <c r="B987" s="408" t="str">
        <f t="shared" si="5"/>
        <v/>
      </c>
      <c r="C987" s="408">
        <f t="shared" si="6"/>
        <v>0</v>
      </c>
      <c r="D987" s="408" t="str">
        <f t="shared" si="7"/>
        <v/>
      </c>
      <c r="E987" s="176" t="str">
        <f t="shared" si="8"/>
        <v/>
      </c>
      <c r="F987" s="408" t="str">
        <f t="shared" si="11"/>
        <v/>
      </c>
      <c r="G987" s="408" t="str">
        <f t="shared" si="12"/>
        <v/>
      </c>
      <c r="H987" s="410">
        <f>IF(K987&gt;='Pro Forma Detail'!D$66,'Pro Forma Detail'!D$67,'Debt ReFi'!$B$5)</f>
        <v>0.0275</v>
      </c>
      <c r="I987" s="1" t="str">
        <f t="shared" si="1"/>
        <v/>
      </c>
      <c r="J987" s="406">
        <f t="shared" si="13"/>
        <v>75332</v>
      </c>
      <c r="K987" s="105">
        <f t="shared" si="9"/>
        <v>86</v>
      </c>
      <c r="L987" s="411" t="str">
        <f t="shared" si="10"/>
        <v/>
      </c>
      <c r="M987" s="407" t="str">
        <f t="shared" si="2"/>
        <v/>
      </c>
      <c r="N987" s="407">
        <f t="shared" si="3"/>
        <v>0</v>
      </c>
      <c r="O987" s="407" t="str">
        <f t="shared" si="4"/>
        <v/>
      </c>
      <c r="P987" s="1"/>
    </row>
    <row r="988" ht="12.75" customHeight="1">
      <c r="A988" s="1">
        <v>977.0</v>
      </c>
      <c r="B988" s="408" t="str">
        <f t="shared" si="5"/>
        <v/>
      </c>
      <c r="C988" s="408">
        <f t="shared" si="6"/>
        <v>0</v>
      </c>
      <c r="D988" s="408" t="str">
        <f t="shared" si="7"/>
        <v/>
      </c>
      <c r="E988" s="176" t="str">
        <f t="shared" si="8"/>
        <v/>
      </c>
      <c r="F988" s="408" t="str">
        <f t="shared" si="11"/>
        <v/>
      </c>
      <c r="G988" s="408" t="str">
        <f t="shared" si="12"/>
        <v/>
      </c>
      <c r="H988" s="410">
        <f>IF(K988&gt;='Pro Forma Detail'!D$66,'Pro Forma Detail'!D$67,'Debt ReFi'!$B$5)</f>
        <v>0.0275</v>
      </c>
      <c r="I988" s="1" t="str">
        <f t="shared" si="1"/>
        <v/>
      </c>
      <c r="J988" s="406">
        <f t="shared" si="13"/>
        <v>75362</v>
      </c>
      <c r="K988" s="105">
        <f t="shared" si="9"/>
        <v>86</v>
      </c>
      <c r="L988" s="411" t="str">
        <f t="shared" si="10"/>
        <v/>
      </c>
      <c r="M988" s="407" t="str">
        <f t="shared" si="2"/>
        <v/>
      </c>
      <c r="N988" s="407">
        <f t="shared" si="3"/>
        <v>0</v>
      </c>
      <c r="O988" s="407" t="str">
        <f t="shared" si="4"/>
        <v/>
      </c>
      <c r="P988" s="1"/>
    </row>
    <row r="989" ht="12.75" customHeight="1">
      <c r="A989" s="1">
        <v>978.0</v>
      </c>
      <c r="B989" s="408" t="str">
        <f t="shared" si="5"/>
        <v/>
      </c>
      <c r="C989" s="408">
        <f t="shared" si="6"/>
        <v>0</v>
      </c>
      <c r="D989" s="408" t="str">
        <f t="shared" si="7"/>
        <v/>
      </c>
      <c r="E989" s="176" t="str">
        <f t="shared" si="8"/>
        <v/>
      </c>
      <c r="F989" s="408" t="str">
        <f t="shared" si="11"/>
        <v/>
      </c>
      <c r="G989" s="408" t="str">
        <f t="shared" si="12"/>
        <v/>
      </c>
      <c r="H989" s="410">
        <f>IF(K989&gt;='Pro Forma Detail'!D$66,'Pro Forma Detail'!D$67,'Debt ReFi'!$B$5)</f>
        <v>0.0275</v>
      </c>
      <c r="I989" s="1" t="str">
        <f t="shared" si="1"/>
        <v/>
      </c>
      <c r="J989" s="406">
        <f t="shared" si="13"/>
        <v>75393</v>
      </c>
      <c r="K989" s="105">
        <f t="shared" si="9"/>
        <v>86</v>
      </c>
      <c r="L989" s="411" t="str">
        <f t="shared" si="10"/>
        <v/>
      </c>
      <c r="M989" s="407" t="str">
        <f t="shared" si="2"/>
        <v/>
      </c>
      <c r="N989" s="407">
        <f t="shared" si="3"/>
        <v>0</v>
      </c>
      <c r="O989" s="407" t="str">
        <f t="shared" si="4"/>
        <v/>
      </c>
      <c r="P989" s="1"/>
    </row>
    <row r="990" ht="12.75" customHeight="1">
      <c r="A990" s="1">
        <v>979.0</v>
      </c>
      <c r="B990" s="408" t="str">
        <f t="shared" si="5"/>
        <v/>
      </c>
      <c r="C990" s="408">
        <f t="shared" si="6"/>
        <v>0</v>
      </c>
      <c r="D990" s="408" t="str">
        <f t="shared" si="7"/>
        <v/>
      </c>
      <c r="E990" s="176" t="str">
        <f t="shared" si="8"/>
        <v/>
      </c>
      <c r="F990" s="408" t="str">
        <f t="shared" si="11"/>
        <v/>
      </c>
      <c r="G990" s="408" t="str">
        <f t="shared" si="12"/>
        <v/>
      </c>
      <c r="H990" s="410">
        <f>IF(K990&gt;='Pro Forma Detail'!D$66,'Pro Forma Detail'!D$67,'Debt ReFi'!$B$5)</f>
        <v>0.0275</v>
      </c>
      <c r="I990" s="1" t="str">
        <f t="shared" si="1"/>
        <v/>
      </c>
      <c r="J990" s="406">
        <f t="shared" si="13"/>
        <v>75423</v>
      </c>
      <c r="K990" s="105">
        <f t="shared" si="9"/>
        <v>86</v>
      </c>
      <c r="L990" s="411" t="str">
        <f t="shared" si="10"/>
        <v/>
      </c>
      <c r="M990" s="407" t="str">
        <f t="shared" si="2"/>
        <v/>
      </c>
      <c r="N990" s="407">
        <f t="shared" si="3"/>
        <v>0</v>
      </c>
      <c r="O990" s="407" t="str">
        <f t="shared" si="4"/>
        <v/>
      </c>
      <c r="P990" s="1"/>
    </row>
    <row r="991" ht="12.75" customHeight="1">
      <c r="A991" s="1">
        <v>980.0</v>
      </c>
      <c r="B991" s="408" t="str">
        <f t="shared" si="5"/>
        <v/>
      </c>
      <c r="C991" s="408">
        <f t="shared" si="6"/>
        <v>0</v>
      </c>
      <c r="D991" s="408" t="str">
        <f t="shared" si="7"/>
        <v/>
      </c>
      <c r="E991" s="176" t="str">
        <f t="shared" si="8"/>
        <v/>
      </c>
      <c r="F991" s="408" t="str">
        <f t="shared" si="11"/>
        <v/>
      </c>
      <c r="G991" s="408" t="str">
        <f t="shared" si="12"/>
        <v/>
      </c>
      <c r="H991" s="410">
        <f>IF(K991&gt;='Pro Forma Detail'!D$66,'Pro Forma Detail'!D$67,'Debt ReFi'!$B$5)</f>
        <v>0.0275</v>
      </c>
      <c r="I991" s="1" t="str">
        <f t="shared" si="1"/>
        <v/>
      </c>
      <c r="J991" s="406">
        <f t="shared" si="13"/>
        <v>75454</v>
      </c>
      <c r="K991" s="105">
        <f t="shared" si="9"/>
        <v>86</v>
      </c>
      <c r="L991" s="411" t="str">
        <f t="shared" si="10"/>
        <v/>
      </c>
      <c r="M991" s="407" t="str">
        <f t="shared" si="2"/>
        <v/>
      </c>
      <c r="N991" s="407">
        <f t="shared" si="3"/>
        <v>0</v>
      </c>
      <c r="O991" s="407" t="str">
        <f t="shared" si="4"/>
        <v/>
      </c>
      <c r="P991" s="1"/>
    </row>
    <row r="992" ht="12.75" customHeight="1">
      <c r="A992" s="1">
        <v>981.0</v>
      </c>
      <c r="B992" s="408" t="str">
        <f t="shared" si="5"/>
        <v/>
      </c>
      <c r="C992" s="408">
        <f t="shared" si="6"/>
        <v>0</v>
      </c>
      <c r="D992" s="408" t="str">
        <f t="shared" si="7"/>
        <v/>
      </c>
      <c r="E992" s="176" t="str">
        <f t="shared" si="8"/>
        <v/>
      </c>
      <c r="F992" s="408" t="str">
        <f t="shared" si="11"/>
        <v/>
      </c>
      <c r="G992" s="408" t="str">
        <f t="shared" si="12"/>
        <v/>
      </c>
      <c r="H992" s="410">
        <f>IF(K992&gt;='Pro Forma Detail'!D$66,'Pro Forma Detail'!D$67,'Debt ReFi'!$B$5)</f>
        <v>0.0275</v>
      </c>
      <c r="I992" s="1" t="str">
        <f t="shared" si="1"/>
        <v/>
      </c>
      <c r="J992" s="406">
        <f t="shared" si="13"/>
        <v>75485</v>
      </c>
      <c r="K992" s="105">
        <f t="shared" si="9"/>
        <v>86</v>
      </c>
      <c r="L992" s="411" t="str">
        <f t="shared" si="10"/>
        <v/>
      </c>
      <c r="M992" s="407" t="str">
        <f t="shared" si="2"/>
        <v/>
      </c>
      <c r="N992" s="407">
        <f t="shared" si="3"/>
        <v>0</v>
      </c>
      <c r="O992" s="407" t="str">
        <f t="shared" si="4"/>
        <v/>
      </c>
      <c r="P992" s="1"/>
    </row>
    <row r="993" ht="12.75" customHeight="1">
      <c r="A993" s="1">
        <v>982.0</v>
      </c>
      <c r="B993" s="408" t="str">
        <f t="shared" si="5"/>
        <v/>
      </c>
      <c r="C993" s="408">
        <f t="shared" si="6"/>
        <v>0</v>
      </c>
      <c r="D993" s="408" t="str">
        <f t="shared" si="7"/>
        <v/>
      </c>
      <c r="E993" s="176" t="str">
        <f t="shared" si="8"/>
        <v/>
      </c>
      <c r="F993" s="408" t="str">
        <f t="shared" si="11"/>
        <v/>
      </c>
      <c r="G993" s="408" t="str">
        <f t="shared" si="12"/>
        <v/>
      </c>
      <c r="H993" s="410">
        <f>IF(K993&gt;='Pro Forma Detail'!D$66,'Pro Forma Detail'!D$67,'Debt ReFi'!$B$5)</f>
        <v>0.0275</v>
      </c>
      <c r="I993" s="1" t="str">
        <f t="shared" si="1"/>
        <v/>
      </c>
      <c r="J993" s="406">
        <f t="shared" si="13"/>
        <v>75515</v>
      </c>
      <c r="K993" s="105">
        <f t="shared" si="9"/>
        <v>86</v>
      </c>
      <c r="L993" s="411" t="str">
        <f t="shared" si="10"/>
        <v/>
      </c>
      <c r="M993" s="407" t="str">
        <f t="shared" si="2"/>
        <v/>
      </c>
      <c r="N993" s="407">
        <f t="shared" si="3"/>
        <v>0</v>
      </c>
      <c r="O993" s="407" t="str">
        <f t="shared" si="4"/>
        <v/>
      </c>
      <c r="P993" s="1"/>
    </row>
    <row r="994" ht="12.75" customHeight="1">
      <c r="A994" s="1">
        <v>983.0</v>
      </c>
      <c r="B994" s="408" t="str">
        <f t="shared" si="5"/>
        <v/>
      </c>
      <c r="C994" s="408">
        <f t="shared" si="6"/>
        <v>0</v>
      </c>
      <c r="D994" s="408" t="str">
        <f t="shared" si="7"/>
        <v/>
      </c>
      <c r="E994" s="176" t="str">
        <f t="shared" si="8"/>
        <v/>
      </c>
      <c r="F994" s="408" t="str">
        <f t="shared" si="11"/>
        <v/>
      </c>
      <c r="G994" s="408" t="str">
        <f t="shared" si="12"/>
        <v/>
      </c>
      <c r="H994" s="410">
        <f>IF(K994&gt;='Pro Forma Detail'!D$66,'Pro Forma Detail'!D$67,'Debt ReFi'!$B$5)</f>
        <v>0.0275</v>
      </c>
      <c r="I994" s="1" t="str">
        <f t="shared" si="1"/>
        <v/>
      </c>
      <c r="J994" s="406">
        <f t="shared" si="13"/>
        <v>75546</v>
      </c>
      <c r="K994" s="105">
        <f t="shared" si="9"/>
        <v>86</v>
      </c>
      <c r="L994" s="411" t="str">
        <f t="shared" si="10"/>
        <v/>
      </c>
      <c r="M994" s="407" t="str">
        <f t="shared" si="2"/>
        <v/>
      </c>
      <c r="N994" s="407">
        <f t="shared" si="3"/>
        <v>0</v>
      </c>
      <c r="O994" s="407" t="str">
        <f t="shared" si="4"/>
        <v/>
      </c>
      <c r="P994" s="1"/>
    </row>
    <row r="995" ht="12.75" customHeight="1">
      <c r="A995" s="1">
        <v>984.0</v>
      </c>
      <c r="B995" s="408" t="str">
        <f t="shared" si="5"/>
        <v/>
      </c>
      <c r="C995" s="408">
        <f t="shared" si="6"/>
        <v>0</v>
      </c>
      <c r="D995" s="408" t="str">
        <f t="shared" si="7"/>
        <v/>
      </c>
      <c r="E995" s="176" t="str">
        <f t="shared" si="8"/>
        <v/>
      </c>
      <c r="F995" s="408" t="str">
        <f t="shared" si="11"/>
        <v/>
      </c>
      <c r="G995" s="408" t="str">
        <f t="shared" si="12"/>
        <v/>
      </c>
      <c r="H995" s="410">
        <f>IF(K995&gt;='Pro Forma Detail'!D$66,'Pro Forma Detail'!D$67,'Debt ReFi'!$B$5)</f>
        <v>0.0275</v>
      </c>
      <c r="I995" s="1" t="str">
        <f t="shared" si="1"/>
        <v/>
      </c>
      <c r="J995" s="406">
        <f t="shared" si="13"/>
        <v>75576</v>
      </c>
      <c r="K995" s="105">
        <f t="shared" si="9"/>
        <v>86</v>
      </c>
      <c r="L995" s="411" t="str">
        <f t="shared" si="10"/>
        <v/>
      </c>
      <c r="M995" s="407" t="str">
        <f t="shared" si="2"/>
        <v/>
      </c>
      <c r="N995" s="407">
        <f t="shared" si="3"/>
        <v>0</v>
      </c>
      <c r="O995" s="407" t="str">
        <f t="shared" si="4"/>
        <v/>
      </c>
      <c r="P995" s="1"/>
    </row>
    <row r="996" ht="12.75" customHeight="1">
      <c r="A996" s="1">
        <v>985.0</v>
      </c>
      <c r="B996" s="408" t="str">
        <f t="shared" si="5"/>
        <v/>
      </c>
      <c r="C996" s="408">
        <f t="shared" si="6"/>
        <v>0</v>
      </c>
      <c r="D996" s="408" t="str">
        <f t="shared" si="7"/>
        <v/>
      </c>
      <c r="E996" s="176" t="str">
        <f t="shared" si="8"/>
        <v/>
      </c>
      <c r="F996" s="408" t="str">
        <f t="shared" si="11"/>
        <v/>
      </c>
      <c r="G996" s="408" t="str">
        <f t="shared" si="12"/>
        <v/>
      </c>
      <c r="H996" s="410">
        <f>IF(K996&gt;='Pro Forma Detail'!D$66,'Pro Forma Detail'!D$67,'Debt ReFi'!$B$5)</f>
        <v>0.0275</v>
      </c>
      <c r="I996" s="1" t="str">
        <f t="shared" si="1"/>
        <v/>
      </c>
      <c r="J996" s="406">
        <f t="shared" si="13"/>
        <v>75607</v>
      </c>
      <c r="K996" s="105">
        <f t="shared" si="9"/>
        <v>87</v>
      </c>
      <c r="L996" s="411" t="str">
        <f t="shared" si="10"/>
        <v/>
      </c>
      <c r="M996" s="407" t="str">
        <f t="shared" si="2"/>
        <v/>
      </c>
      <c r="N996" s="407">
        <f t="shared" si="3"/>
        <v>0</v>
      </c>
      <c r="O996" s="407" t="str">
        <f t="shared" si="4"/>
        <v/>
      </c>
      <c r="P996" s="1"/>
    </row>
    <row r="997" ht="12.75" customHeight="1">
      <c r="A997" s="1">
        <v>986.0</v>
      </c>
      <c r="B997" s="408" t="str">
        <f t="shared" si="5"/>
        <v/>
      </c>
      <c r="C997" s="408">
        <f t="shared" si="6"/>
        <v>0</v>
      </c>
      <c r="D997" s="408" t="str">
        <f t="shared" si="7"/>
        <v/>
      </c>
      <c r="E997" s="176" t="str">
        <f t="shared" si="8"/>
        <v/>
      </c>
      <c r="F997" s="408" t="str">
        <f t="shared" si="11"/>
        <v/>
      </c>
      <c r="G997" s="408" t="str">
        <f t="shared" si="12"/>
        <v/>
      </c>
      <c r="H997" s="410">
        <f>IF(K997&gt;='Pro Forma Detail'!D$66,'Pro Forma Detail'!D$67,'Debt ReFi'!$B$5)</f>
        <v>0.0275</v>
      </c>
      <c r="I997" s="1" t="str">
        <f t="shared" si="1"/>
        <v/>
      </c>
      <c r="J997" s="406">
        <f t="shared" si="13"/>
        <v>75638</v>
      </c>
      <c r="K997" s="105">
        <f t="shared" si="9"/>
        <v>87</v>
      </c>
      <c r="L997" s="411" t="str">
        <f t="shared" si="10"/>
        <v/>
      </c>
      <c r="M997" s="407" t="str">
        <f t="shared" si="2"/>
        <v/>
      </c>
      <c r="N997" s="407">
        <f t="shared" si="3"/>
        <v>0</v>
      </c>
      <c r="O997" s="407" t="str">
        <f t="shared" si="4"/>
        <v/>
      </c>
      <c r="P997" s="1"/>
    </row>
    <row r="998" ht="12.75" customHeight="1">
      <c r="A998" s="1">
        <v>987.0</v>
      </c>
      <c r="B998" s="408" t="str">
        <f t="shared" si="5"/>
        <v/>
      </c>
      <c r="C998" s="408">
        <f t="shared" si="6"/>
        <v>0</v>
      </c>
      <c r="D998" s="408" t="str">
        <f t="shared" si="7"/>
        <v/>
      </c>
      <c r="E998" s="176" t="str">
        <f t="shared" si="8"/>
        <v/>
      </c>
      <c r="F998" s="408" t="str">
        <f t="shared" si="11"/>
        <v/>
      </c>
      <c r="G998" s="408" t="str">
        <f t="shared" si="12"/>
        <v/>
      </c>
      <c r="H998" s="410">
        <f>IF(K998&gt;='Pro Forma Detail'!D$66,'Pro Forma Detail'!D$67,'Debt ReFi'!$B$5)</f>
        <v>0.0275</v>
      </c>
      <c r="I998" s="1" t="str">
        <f t="shared" si="1"/>
        <v/>
      </c>
      <c r="J998" s="406">
        <f t="shared" si="13"/>
        <v>75666</v>
      </c>
      <c r="K998" s="105">
        <f t="shared" si="9"/>
        <v>87</v>
      </c>
      <c r="L998" s="411" t="str">
        <f t="shared" si="10"/>
        <v/>
      </c>
      <c r="M998" s="407" t="str">
        <f t="shared" si="2"/>
        <v/>
      </c>
      <c r="N998" s="407">
        <f t="shared" si="3"/>
        <v>0</v>
      </c>
      <c r="O998" s="407" t="str">
        <f t="shared" si="4"/>
        <v/>
      </c>
      <c r="P998" s="1"/>
    </row>
    <row r="999" ht="12.75" customHeight="1">
      <c r="A999" s="1">
        <v>988.0</v>
      </c>
      <c r="B999" s="408" t="str">
        <f t="shared" si="5"/>
        <v/>
      </c>
      <c r="C999" s="408">
        <f t="shared" si="6"/>
        <v>0</v>
      </c>
      <c r="D999" s="408" t="str">
        <f t="shared" si="7"/>
        <v/>
      </c>
      <c r="E999" s="176" t="str">
        <f t="shared" si="8"/>
        <v/>
      </c>
      <c r="F999" s="408" t="str">
        <f t="shared" si="11"/>
        <v/>
      </c>
      <c r="G999" s="408" t="str">
        <f t="shared" si="12"/>
        <v/>
      </c>
      <c r="H999" s="410">
        <f>IF(K999&gt;='Pro Forma Detail'!D$66,'Pro Forma Detail'!D$67,'Debt ReFi'!$B$5)</f>
        <v>0.0275</v>
      </c>
      <c r="I999" s="1" t="str">
        <f t="shared" si="1"/>
        <v/>
      </c>
      <c r="J999" s="406">
        <f t="shared" si="13"/>
        <v>75697</v>
      </c>
      <c r="K999" s="105">
        <f t="shared" si="9"/>
        <v>87</v>
      </c>
      <c r="L999" s="411" t="str">
        <f t="shared" si="10"/>
        <v/>
      </c>
      <c r="M999" s="407" t="str">
        <f t="shared" si="2"/>
        <v/>
      </c>
      <c r="N999" s="407">
        <f t="shared" si="3"/>
        <v>0</v>
      </c>
      <c r="O999" s="407" t="str">
        <f t="shared" si="4"/>
        <v/>
      </c>
      <c r="P999" s="1"/>
    </row>
    <row r="1000" ht="12.75" customHeight="1">
      <c r="A1000" s="1">
        <v>989.0</v>
      </c>
      <c r="B1000" s="408" t="str">
        <f t="shared" si="5"/>
        <v/>
      </c>
      <c r="C1000" s="408">
        <f t="shared" si="6"/>
        <v>0</v>
      </c>
      <c r="D1000" s="408" t="str">
        <f t="shared" si="7"/>
        <v/>
      </c>
      <c r="E1000" s="176" t="str">
        <f t="shared" si="8"/>
        <v/>
      </c>
      <c r="F1000" s="408" t="str">
        <f t="shared" si="11"/>
        <v/>
      </c>
      <c r="G1000" s="408" t="str">
        <f t="shared" si="12"/>
        <v/>
      </c>
      <c r="H1000" s="410">
        <f>IF(K1000&gt;='Pro Forma Detail'!D$66,'Pro Forma Detail'!D$67,'Debt ReFi'!$B$5)</f>
        <v>0.0275</v>
      </c>
      <c r="I1000" s="1" t="str">
        <f t="shared" si="1"/>
        <v/>
      </c>
      <c r="J1000" s="406">
        <f t="shared" si="13"/>
        <v>75727</v>
      </c>
      <c r="K1000" s="105">
        <f t="shared" si="9"/>
        <v>87</v>
      </c>
      <c r="L1000" s="411" t="str">
        <f t="shared" si="10"/>
        <v/>
      </c>
      <c r="M1000" s="407" t="str">
        <f t="shared" si="2"/>
        <v/>
      </c>
      <c r="N1000" s="407">
        <f t="shared" si="3"/>
        <v>0</v>
      </c>
      <c r="O1000" s="407" t="str">
        <f t="shared" si="4"/>
        <v/>
      </c>
      <c r="P1000" s="1"/>
    </row>
    <row r="1001" ht="12.75" customHeight="1">
      <c r="A1001" s="1"/>
      <c r="B1001" s="408"/>
      <c r="C1001" s="408"/>
      <c r="D1001" s="408"/>
      <c r="E1001" s="176"/>
      <c r="F1001" s="408"/>
      <c r="G1001" s="408"/>
      <c r="H1001" s="1"/>
      <c r="I1001" s="1"/>
      <c r="J1001" s="406"/>
      <c r="K1001" s="406"/>
      <c r="L1001" s="366"/>
      <c r="M1001" s="367"/>
      <c r="N1001" s="367"/>
      <c r="O1001" s="367"/>
      <c r="P1001" s="1"/>
    </row>
  </sheetData>
  <mergeCells count="5">
    <mergeCell ref="C3:D3"/>
    <mergeCell ref="G3:H3"/>
    <mergeCell ref="C4:D4"/>
    <mergeCell ref="G4:H4"/>
    <mergeCell ref="C5:D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A8AC6"/>
    <pageSetUpPr/>
  </sheetPr>
  <sheetViews>
    <sheetView workbookViewId="0"/>
  </sheetViews>
  <sheetFormatPr customHeight="1" defaultColWidth="12.63" defaultRowHeight="15.0"/>
  <cols>
    <col customWidth="1" min="1" max="1" width="8.25"/>
    <col customWidth="1" min="2" max="2" width="25.0"/>
    <col customWidth="1" min="3" max="3" width="16.13"/>
    <col customWidth="1" min="4" max="4" width="15.0"/>
    <col customWidth="1" min="5" max="5" width="12.75"/>
    <col customWidth="1" min="6" max="6" width="14.0"/>
    <col customWidth="1" min="7" max="7" width="12.0"/>
    <col customWidth="1" min="8" max="8" width="12.75"/>
    <col customWidth="1" min="9" max="9" width="12.13"/>
    <col customWidth="1" min="10" max="10" width="8.38"/>
    <col customWidth="1" min="11" max="16" width="8.0"/>
    <col customWidth="1" min="17" max="26" width="14.38"/>
  </cols>
  <sheetData>
    <row r="1" ht="18.75" customHeight="1">
      <c r="A1" s="412"/>
      <c r="B1" s="413"/>
      <c r="C1" s="413"/>
      <c r="D1" s="413"/>
      <c r="E1" s="414"/>
      <c r="F1" s="412"/>
      <c r="G1" s="412"/>
      <c r="H1" s="412"/>
      <c r="I1" s="412"/>
      <c r="J1" s="412"/>
      <c r="K1" s="364"/>
      <c r="L1" s="364"/>
      <c r="M1" s="364"/>
      <c r="N1" s="364"/>
      <c r="O1" s="364"/>
      <c r="P1" s="364"/>
    </row>
    <row r="2" ht="18.75" customHeight="1">
      <c r="A2" s="412"/>
      <c r="B2" s="413"/>
      <c r="C2" s="413"/>
      <c r="D2" s="413"/>
      <c r="E2" s="414"/>
      <c r="F2" s="412"/>
      <c r="G2" s="412"/>
      <c r="H2" s="412"/>
      <c r="I2" s="412"/>
      <c r="J2" s="412"/>
      <c r="K2" s="364"/>
      <c r="L2" s="364"/>
      <c r="M2" s="364"/>
      <c r="N2" s="364"/>
      <c r="O2" s="364"/>
      <c r="P2" s="364"/>
    </row>
    <row r="3" ht="18.75" customHeight="1">
      <c r="A3" s="412"/>
      <c r="B3" s="413" t="s">
        <v>241</v>
      </c>
      <c r="C3" s="413"/>
      <c r="D3" s="413"/>
      <c r="E3" s="414"/>
      <c r="F3" s="412"/>
      <c r="G3" s="412"/>
      <c r="H3" s="412"/>
      <c r="I3" s="412"/>
      <c r="J3" s="412"/>
      <c r="K3" s="364"/>
      <c r="L3" s="364"/>
      <c r="M3" s="364"/>
      <c r="N3" s="364"/>
      <c r="O3" s="364"/>
      <c r="P3" s="364"/>
    </row>
    <row r="4" ht="18.75" customHeight="1">
      <c r="A4" s="412"/>
      <c r="B4" s="415" t="s">
        <v>242</v>
      </c>
      <c r="C4" s="416"/>
      <c r="D4" s="416"/>
      <c r="E4" s="416"/>
      <c r="F4" s="412"/>
      <c r="G4" s="412" t="s">
        <v>243</v>
      </c>
      <c r="H4" s="417" t="s">
        <v>244</v>
      </c>
      <c r="I4" s="418"/>
      <c r="J4" s="412"/>
      <c r="K4" s="364"/>
      <c r="L4" s="364"/>
      <c r="M4" s="364"/>
      <c r="N4" s="364"/>
      <c r="O4" s="364"/>
      <c r="P4" s="364"/>
    </row>
    <row r="5" ht="15.75" customHeight="1">
      <c r="A5" s="412"/>
      <c r="B5" s="412"/>
      <c r="C5" s="419" t="s">
        <v>245</v>
      </c>
      <c r="D5" s="412"/>
      <c r="E5" s="412"/>
      <c r="F5" s="412"/>
      <c r="G5" s="412"/>
      <c r="H5" s="412"/>
      <c r="I5" s="412"/>
      <c r="J5" s="412"/>
      <c r="K5" s="364"/>
      <c r="L5" s="364"/>
      <c r="M5" s="364"/>
      <c r="N5" s="364"/>
      <c r="O5" s="364"/>
      <c r="P5" s="364"/>
    </row>
    <row r="6" ht="15.75" customHeight="1">
      <c r="A6" s="412"/>
      <c r="B6" s="420" t="s">
        <v>246</v>
      </c>
      <c r="C6" s="418">
        <f>D6/C22</f>
        <v>76736.11111</v>
      </c>
      <c r="D6" s="421">
        <v>5525000.0</v>
      </c>
      <c r="E6" s="412"/>
      <c r="F6" s="412"/>
      <c r="G6" s="412"/>
      <c r="H6" s="412"/>
      <c r="I6" s="412"/>
      <c r="J6" s="412"/>
      <c r="K6" s="364"/>
      <c r="L6" s="364"/>
      <c r="M6" s="364"/>
      <c r="N6" s="364"/>
      <c r="O6" s="364"/>
      <c r="P6" s="364"/>
    </row>
    <row r="7" ht="15.75" customHeight="1">
      <c r="A7" s="412"/>
      <c r="B7" s="422" t="s">
        <v>247</v>
      </c>
      <c r="C7" s="418">
        <f>D7/C22</f>
        <v>76736.11111</v>
      </c>
      <c r="D7" s="421">
        <v>5525000.0</v>
      </c>
      <c r="E7" s="412"/>
      <c r="F7" s="412"/>
      <c r="G7" s="412"/>
      <c r="H7" s="412"/>
      <c r="I7" s="412"/>
      <c r="J7" s="412"/>
      <c r="K7" s="364"/>
      <c r="L7" s="364"/>
      <c r="M7" s="364"/>
      <c r="N7" s="364"/>
      <c r="O7" s="364"/>
      <c r="P7" s="364"/>
    </row>
    <row r="8" ht="15.75" customHeight="1">
      <c r="A8" s="412"/>
      <c r="B8" s="423"/>
      <c r="C8" s="424" t="s">
        <v>248</v>
      </c>
      <c r="D8" s="425">
        <v>0.2</v>
      </c>
      <c r="E8" s="412"/>
      <c r="F8" s="412"/>
      <c r="G8" s="426"/>
      <c r="H8" s="412"/>
      <c r="I8" s="412"/>
      <c r="J8" s="412"/>
      <c r="K8" s="364"/>
      <c r="L8" s="364"/>
      <c r="M8" s="364"/>
      <c r="N8" s="364"/>
      <c r="O8" s="364"/>
      <c r="P8" s="364"/>
    </row>
    <row r="9" ht="15.75" customHeight="1">
      <c r="A9" s="412"/>
      <c r="B9" s="412" t="s">
        <v>249</v>
      </c>
      <c r="C9" s="418"/>
      <c r="D9" s="418">
        <f>D7*D8</f>
        <v>1105000</v>
      </c>
      <c r="E9" s="412"/>
      <c r="F9" s="412"/>
      <c r="G9" s="412"/>
      <c r="H9" s="412"/>
      <c r="I9" s="412"/>
      <c r="J9" s="412"/>
      <c r="K9" s="364"/>
      <c r="L9" s="364"/>
      <c r="M9" s="364"/>
      <c r="N9" s="364"/>
      <c r="O9" s="364"/>
      <c r="P9" s="364"/>
    </row>
    <row r="10" ht="15.75" customHeight="1">
      <c r="A10" s="412"/>
      <c r="B10" s="412" t="s">
        <v>250</v>
      </c>
      <c r="C10" s="418"/>
      <c r="D10" s="418">
        <v>118750.0</v>
      </c>
      <c r="E10" s="412"/>
      <c r="F10" s="412"/>
      <c r="G10" s="412"/>
      <c r="H10" s="412"/>
      <c r="I10" s="412"/>
      <c r="J10" s="412"/>
      <c r="K10" s="364"/>
      <c r="L10" s="364"/>
      <c r="M10" s="364"/>
      <c r="N10" s="364"/>
      <c r="O10" s="364"/>
      <c r="P10" s="364"/>
    </row>
    <row r="11" ht="15.75" customHeight="1">
      <c r="A11" s="412"/>
      <c r="B11" s="412" t="s">
        <v>251</v>
      </c>
      <c r="C11" s="418"/>
      <c r="D11" s="418">
        <f>D9+D10</f>
        <v>1223750</v>
      </c>
      <c r="E11" s="412"/>
      <c r="F11" s="412"/>
      <c r="G11" s="412"/>
      <c r="H11" s="412"/>
      <c r="I11" s="412"/>
      <c r="J11" s="412"/>
      <c r="K11" s="364"/>
      <c r="L11" s="364"/>
      <c r="M11" s="364"/>
      <c r="N11" s="364"/>
      <c r="O11" s="364"/>
      <c r="P11" s="364"/>
    </row>
    <row r="12" ht="15.75" customHeight="1">
      <c r="A12" s="412"/>
      <c r="B12" s="427" t="s">
        <v>252</v>
      </c>
      <c r="C12" s="418"/>
      <c r="D12" s="418">
        <f>D7-D9</f>
        <v>4420000</v>
      </c>
      <c r="E12" s="418"/>
      <c r="F12" s="412"/>
      <c r="G12" s="412"/>
      <c r="H12" s="412"/>
      <c r="I12" s="412"/>
      <c r="J12" s="412"/>
      <c r="K12" s="364"/>
      <c r="L12" s="364"/>
      <c r="M12" s="364"/>
      <c r="N12" s="364"/>
      <c r="O12" s="364"/>
      <c r="P12" s="364"/>
    </row>
    <row r="13" ht="15.75" customHeight="1">
      <c r="A13" s="412"/>
      <c r="B13" s="412" t="s">
        <v>253</v>
      </c>
      <c r="C13" s="418"/>
      <c r="D13" s="418">
        <f>Payment!G10</f>
        <v>216531.1224</v>
      </c>
      <c r="E13" s="412"/>
      <c r="F13" s="412"/>
      <c r="G13" s="412"/>
      <c r="H13" s="412"/>
      <c r="I13" s="412"/>
      <c r="J13" s="412"/>
      <c r="K13" s="364"/>
      <c r="L13" s="364"/>
      <c r="M13" s="364"/>
      <c r="N13" s="364"/>
      <c r="O13" s="364"/>
      <c r="P13" s="364"/>
    </row>
    <row r="14" ht="15.75" customHeight="1">
      <c r="A14" s="412"/>
      <c r="B14" s="428"/>
      <c r="C14" s="424" t="s">
        <v>254</v>
      </c>
      <c r="D14" s="425">
        <v>0.0275</v>
      </c>
      <c r="E14" s="412"/>
      <c r="F14" s="412"/>
      <c r="G14" s="412"/>
      <c r="H14" s="412"/>
      <c r="I14" s="412"/>
      <c r="J14" s="412"/>
      <c r="K14" s="364"/>
      <c r="L14" s="364"/>
      <c r="M14" s="364"/>
      <c r="N14" s="364"/>
      <c r="O14" s="364"/>
      <c r="P14" s="364"/>
    </row>
    <row r="15" ht="15.75" customHeight="1">
      <c r="A15" s="412"/>
      <c r="B15" s="428"/>
      <c r="C15" s="424" t="s">
        <v>255</v>
      </c>
      <c r="D15" s="429">
        <f>30*12</f>
        <v>360</v>
      </c>
      <c r="E15" s="412"/>
      <c r="F15" s="412"/>
      <c r="G15" s="412"/>
      <c r="H15" s="412"/>
      <c r="I15" s="412"/>
      <c r="J15" s="412"/>
      <c r="K15" s="364"/>
      <c r="L15" s="364"/>
      <c r="M15" s="364"/>
      <c r="N15" s="364"/>
      <c r="O15" s="364"/>
      <c r="P15" s="364"/>
    </row>
    <row r="16" ht="15.75" customHeight="1">
      <c r="A16" s="412"/>
      <c r="B16" s="412" t="s">
        <v>28</v>
      </c>
      <c r="D16" s="430" t="s">
        <v>256</v>
      </c>
      <c r="E16" s="412"/>
      <c r="F16" s="412"/>
      <c r="G16" s="412"/>
      <c r="H16" s="412"/>
      <c r="I16" s="412"/>
      <c r="J16" s="412"/>
      <c r="K16" s="364"/>
      <c r="L16" s="364"/>
      <c r="M16" s="364"/>
      <c r="N16" s="364"/>
      <c r="O16" s="364"/>
      <c r="P16" s="364"/>
    </row>
    <row r="17" ht="15.75" customHeight="1">
      <c r="A17" s="412"/>
      <c r="B17" s="412" t="s">
        <v>26</v>
      </c>
      <c r="C17" s="1"/>
      <c r="D17" s="430">
        <v>11.0</v>
      </c>
      <c r="E17" s="412"/>
      <c r="F17" s="412"/>
      <c r="G17" s="412"/>
      <c r="H17" s="412"/>
      <c r="I17" s="412"/>
      <c r="J17" s="412"/>
      <c r="K17" s="364"/>
      <c r="L17" s="364"/>
      <c r="M17" s="364"/>
      <c r="N17" s="364"/>
      <c r="O17" s="364"/>
      <c r="P17" s="364"/>
    </row>
    <row r="18" ht="15.75" customHeight="1">
      <c r="A18" s="412"/>
      <c r="B18" s="412" t="s">
        <v>27</v>
      </c>
      <c r="C18" s="1"/>
      <c r="D18" s="430">
        <v>2.0</v>
      </c>
      <c r="E18" s="412"/>
      <c r="F18" s="412"/>
      <c r="G18" s="412"/>
      <c r="H18" s="412"/>
      <c r="I18" s="412"/>
      <c r="J18" s="412"/>
      <c r="K18" s="364"/>
      <c r="L18" s="364"/>
      <c r="M18" s="364"/>
      <c r="N18" s="364"/>
      <c r="O18" s="364"/>
      <c r="P18" s="364"/>
    </row>
    <row r="19" ht="15.75" customHeight="1">
      <c r="A19" s="412"/>
      <c r="B19" s="412" t="s">
        <v>257</v>
      </c>
      <c r="C19" s="1"/>
      <c r="D19" s="430">
        <v>4.08</v>
      </c>
      <c r="E19" s="412"/>
      <c r="F19" s="412"/>
      <c r="G19" s="412"/>
      <c r="H19" s="412"/>
      <c r="I19" s="412"/>
      <c r="J19" s="412"/>
      <c r="K19" s="364"/>
      <c r="L19" s="364"/>
      <c r="M19" s="364"/>
      <c r="N19" s="364"/>
      <c r="O19" s="364"/>
      <c r="P19" s="364"/>
    </row>
    <row r="20" ht="15.75" customHeight="1">
      <c r="A20" s="412"/>
      <c r="B20" s="412" t="s">
        <v>258</v>
      </c>
      <c r="C20" s="1"/>
      <c r="D20" s="431">
        <f>D7/C23</f>
        <v>12.93305243</v>
      </c>
      <c r="E20" s="412"/>
      <c r="F20" s="412"/>
      <c r="G20" s="412"/>
      <c r="H20" s="412"/>
      <c r="I20" s="412"/>
      <c r="J20" s="412"/>
      <c r="K20" s="364"/>
      <c r="L20" s="364"/>
      <c r="M20" s="364"/>
      <c r="N20" s="364"/>
      <c r="O20" s="364"/>
      <c r="P20" s="364"/>
    </row>
    <row r="21" ht="15.75" customHeight="1">
      <c r="A21" s="412"/>
      <c r="B21" s="432"/>
      <c r="C21" s="432"/>
      <c r="D21" s="433" t="s">
        <v>91</v>
      </c>
      <c r="E21" s="434" t="s">
        <v>259</v>
      </c>
      <c r="F21" s="435"/>
      <c r="G21" s="435"/>
      <c r="H21" s="435"/>
      <c r="I21" s="435"/>
      <c r="J21" s="436"/>
      <c r="K21" s="364"/>
      <c r="L21" s="364"/>
      <c r="M21" s="364"/>
      <c r="N21" s="364"/>
      <c r="O21" s="364"/>
      <c r="P21" s="364"/>
    </row>
    <row r="22" ht="15.75" customHeight="1">
      <c r="A22" s="412"/>
      <c r="B22" s="437" t="s">
        <v>260</v>
      </c>
      <c r="C22" s="438">
        <f>'Rent Income Data Entry'!B11</f>
        <v>72</v>
      </c>
      <c r="D22" s="439"/>
      <c r="E22" s="440"/>
      <c r="J22" s="436"/>
      <c r="K22" s="364"/>
      <c r="L22" s="364"/>
      <c r="M22" s="364"/>
      <c r="N22" s="364"/>
      <c r="O22" s="364"/>
      <c r="P22" s="364"/>
    </row>
    <row r="23" ht="15.75" customHeight="1">
      <c r="A23" s="412"/>
      <c r="B23" s="441" t="s">
        <v>261</v>
      </c>
      <c r="C23" s="442">
        <v>427200.0</v>
      </c>
      <c r="D23" s="439"/>
      <c r="E23" s="443" t="s">
        <v>262</v>
      </c>
      <c r="F23" s="443" t="s">
        <v>263</v>
      </c>
      <c r="G23" s="443" t="s">
        <v>264</v>
      </c>
      <c r="H23" s="443" t="s">
        <v>265</v>
      </c>
      <c r="I23" s="443" t="s">
        <v>266</v>
      </c>
      <c r="J23" s="436"/>
      <c r="K23" s="364"/>
      <c r="L23" s="364"/>
      <c r="M23" s="364"/>
      <c r="N23" s="364"/>
      <c r="O23" s="364"/>
      <c r="P23" s="364"/>
    </row>
    <row r="24" ht="15.75" customHeight="1">
      <c r="A24" s="412"/>
      <c r="B24" s="441"/>
      <c r="C24" s="442"/>
      <c r="D24" s="444"/>
      <c r="E24" s="443"/>
      <c r="F24" s="443"/>
      <c r="G24" s="443"/>
      <c r="H24" s="443"/>
      <c r="I24" s="443"/>
      <c r="J24" s="436"/>
      <c r="K24" s="364"/>
      <c r="L24" s="364"/>
      <c r="M24" s="364"/>
      <c r="N24" s="364"/>
      <c r="O24" s="364"/>
      <c r="P24" s="364"/>
    </row>
    <row r="25" ht="15.75" customHeight="1">
      <c r="A25" s="412"/>
      <c r="B25" s="441"/>
      <c r="C25" s="442"/>
      <c r="D25" s="444"/>
      <c r="E25" s="443"/>
      <c r="F25" s="443"/>
      <c r="G25" s="443"/>
      <c r="H25" s="443"/>
      <c r="I25" s="443"/>
      <c r="J25" s="436"/>
      <c r="K25" s="364"/>
      <c r="L25" s="364"/>
      <c r="M25" s="364"/>
      <c r="N25" s="364"/>
      <c r="O25" s="364"/>
      <c r="P25" s="364"/>
    </row>
    <row r="26" ht="29.25" customHeight="1">
      <c r="A26" s="412"/>
      <c r="B26" s="445" t="s">
        <v>90</v>
      </c>
      <c r="C26" s="437"/>
      <c r="D26" s="446" t="s">
        <v>267</v>
      </c>
      <c r="E26" s="437"/>
      <c r="F26" s="437"/>
      <c r="G26" s="437"/>
      <c r="H26" s="437"/>
      <c r="I26" s="437"/>
      <c r="J26" s="447"/>
      <c r="K26" s="364"/>
      <c r="L26" s="364"/>
      <c r="M26" s="364"/>
      <c r="N26" s="364"/>
      <c r="O26" s="364"/>
      <c r="P26" s="364"/>
    </row>
    <row r="27" ht="15.75" customHeight="1">
      <c r="A27" s="412"/>
      <c r="B27" s="448" t="s">
        <v>94</v>
      </c>
      <c r="C27" s="437"/>
      <c r="D27" s="449">
        <f>'Rent Income Data Entry'!D12</f>
        <v>690600</v>
      </c>
      <c r="E27" s="449">
        <f>'Rent Income Data Entry'!D23</f>
        <v>712170</v>
      </c>
      <c r="F27" s="449">
        <f>'Rent Income Data Entry'!D34</f>
        <v>733391.4</v>
      </c>
      <c r="G27" s="449">
        <f>'Rent Income Data Entry'!D46</f>
        <v>755306.61</v>
      </c>
      <c r="H27" s="449">
        <f t="shared" ref="H27:I27" si="1">+G27*1.03</f>
        <v>777965.8083</v>
      </c>
      <c r="I27" s="449">
        <f t="shared" si="1"/>
        <v>801304.7825</v>
      </c>
      <c r="J27" s="450"/>
      <c r="K27" s="364"/>
      <c r="L27" s="364"/>
      <c r="M27" s="364"/>
      <c r="N27" s="364"/>
      <c r="O27" s="364"/>
      <c r="P27" s="364"/>
    </row>
    <row r="28" ht="15.75" customHeight="1">
      <c r="A28" s="412"/>
      <c r="B28" s="448" t="s">
        <v>268</v>
      </c>
      <c r="C28" s="437"/>
      <c r="D28" s="451">
        <v>89456.0</v>
      </c>
      <c r="E28" s="451">
        <f t="shared" ref="E28:E29" si="3">D28</f>
        <v>89456</v>
      </c>
      <c r="F28" s="451">
        <f t="shared" ref="F28:I28" si="2">E28*1.03</f>
        <v>92139.68</v>
      </c>
      <c r="G28" s="451">
        <f t="shared" si="2"/>
        <v>94903.8704</v>
      </c>
      <c r="H28" s="451">
        <f t="shared" si="2"/>
        <v>97750.98651</v>
      </c>
      <c r="I28" s="451">
        <f t="shared" si="2"/>
        <v>100683.5161</v>
      </c>
      <c r="J28" s="450"/>
      <c r="K28" s="364"/>
      <c r="L28" s="364"/>
      <c r="M28" s="364"/>
      <c r="N28" s="364"/>
      <c r="O28" s="364"/>
      <c r="P28" s="364"/>
    </row>
    <row r="29" ht="15.75" customHeight="1">
      <c r="A29" s="412"/>
      <c r="B29" s="448" t="s">
        <v>269</v>
      </c>
      <c r="C29" s="437"/>
      <c r="D29" s="451">
        <v>40985.0</v>
      </c>
      <c r="E29" s="451">
        <f t="shared" si="3"/>
        <v>40985</v>
      </c>
      <c r="F29" s="451">
        <f>E53*0.75</f>
        <v>44109</v>
      </c>
      <c r="G29" s="451">
        <f t="shared" ref="G29:I29" si="4">SUM(F29*0.01)+F29</f>
        <v>44550.09</v>
      </c>
      <c r="H29" s="451">
        <f t="shared" si="4"/>
        <v>44995.5909</v>
      </c>
      <c r="I29" s="451">
        <f t="shared" si="4"/>
        <v>45445.54681</v>
      </c>
      <c r="J29" s="450"/>
      <c r="K29" s="364"/>
      <c r="L29" s="364"/>
      <c r="M29" s="364"/>
      <c r="N29" s="364"/>
      <c r="O29" s="364"/>
      <c r="P29" s="364"/>
    </row>
    <row r="30" ht="15.75" customHeight="1">
      <c r="A30" s="412"/>
      <c r="B30" s="448" t="s">
        <v>270</v>
      </c>
      <c r="C30" s="437"/>
      <c r="D30" s="451">
        <v>0.0</v>
      </c>
      <c r="E30" s="451">
        <v>0.0</v>
      </c>
      <c r="F30" s="451">
        <v>0.0</v>
      </c>
      <c r="G30" s="451">
        <v>0.0</v>
      </c>
      <c r="H30" s="451">
        <v>0.0</v>
      </c>
      <c r="I30" s="451">
        <v>0.0</v>
      </c>
      <c r="J30" s="450"/>
      <c r="K30" s="364"/>
      <c r="L30" s="364"/>
      <c r="M30" s="364"/>
      <c r="N30" s="364"/>
      <c r="O30" s="364"/>
      <c r="P30" s="364"/>
    </row>
    <row r="31" ht="15.75" customHeight="1">
      <c r="A31" s="412"/>
      <c r="B31" s="412"/>
      <c r="C31" s="412"/>
      <c r="D31" s="412"/>
      <c r="E31" s="412"/>
      <c r="F31" s="412"/>
      <c r="G31" s="412"/>
      <c r="H31" s="412"/>
      <c r="I31" s="412"/>
      <c r="J31" s="412"/>
      <c r="K31" s="364"/>
      <c r="L31" s="364"/>
      <c r="M31" s="364"/>
      <c r="N31" s="364"/>
      <c r="O31" s="364"/>
      <c r="P31" s="364"/>
    </row>
    <row r="32" ht="15.75" customHeight="1">
      <c r="A32" s="412"/>
      <c r="B32" s="448"/>
      <c r="C32" s="452" t="s">
        <v>271</v>
      </c>
      <c r="D32" s="425">
        <v>0.03</v>
      </c>
      <c r="E32" s="425">
        <v>0.03</v>
      </c>
      <c r="F32" s="425">
        <v>0.03</v>
      </c>
      <c r="G32" s="425">
        <v>0.05</v>
      </c>
      <c r="H32" s="425">
        <v>0.05</v>
      </c>
      <c r="I32" s="425">
        <v>0.05</v>
      </c>
      <c r="J32" s="450"/>
      <c r="K32" s="364"/>
      <c r="L32" s="364"/>
      <c r="M32" s="364"/>
      <c r="N32" s="364"/>
      <c r="O32" s="364"/>
      <c r="P32" s="364"/>
    </row>
    <row r="33" ht="15.75" customHeight="1">
      <c r="A33" s="412"/>
      <c r="B33" s="448" t="s">
        <v>101</v>
      </c>
      <c r="C33" s="437"/>
      <c r="D33" s="449">
        <f t="shared" ref="D33:I33" si="5">-D27*D32</f>
        <v>-20718</v>
      </c>
      <c r="E33" s="449">
        <f t="shared" si="5"/>
        <v>-21365.1</v>
      </c>
      <c r="F33" s="449">
        <f t="shared" si="5"/>
        <v>-22001.742</v>
      </c>
      <c r="G33" s="449">
        <f t="shared" si="5"/>
        <v>-37765.3305</v>
      </c>
      <c r="H33" s="449">
        <f t="shared" si="5"/>
        <v>-38898.29042</v>
      </c>
      <c r="I33" s="449">
        <f t="shared" si="5"/>
        <v>-40065.23913</v>
      </c>
      <c r="J33" s="450"/>
      <c r="K33" s="364"/>
      <c r="L33" s="364"/>
      <c r="M33" s="364"/>
      <c r="N33" s="364"/>
      <c r="O33" s="364"/>
      <c r="P33" s="364"/>
    </row>
    <row r="34" ht="15.75" customHeight="1">
      <c r="A34" s="412"/>
      <c r="B34" s="437" t="s">
        <v>272</v>
      </c>
      <c r="C34" s="437"/>
      <c r="D34" s="451">
        <v>0.0</v>
      </c>
      <c r="E34" s="451">
        <v>0.0</v>
      </c>
      <c r="F34" s="451">
        <f t="shared" ref="F34:I34" si="6">E34</f>
        <v>0</v>
      </c>
      <c r="G34" s="451">
        <f t="shared" si="6"/>
        <v>0</v>
      </c>
      <c r="H34" s="451">
        <f t="shared" si="6"/>
        <v>0</v>
      </c>
      <c r="I34" s="451">
        <f t="shared" si="6"/>
        <v>0</v>
      </c>
      <c r="J34" s="450"/>
      <c r="K34" s="364"/>
      <c r="L34" s="364"/>
      <c r="M34" s="364"/>
      <c r="N34" s="364"/>
      <c r="O34" s="364"/>
      <c r="P34" s="364"/>
    </row>
    <row r="35" ht="15.75" customHeight="1">
      <c r="A35" s="412"/>
      <c r="B35" s="448" t="s">
        <v>273</v>
      </c>
      <c r="C35" s="437"/>
      <c r="D35" s="451">
        <v>0.0</v>
      </c>
      <c r="E35" s="451">
        <f t="shared" ref="E35:I35" si="7">+D35*1.03</f>
        <v>0</v>
      </c>
      <c r="F35" s="451">
        <f t="shared" si="7"/>
        <v>0</v>
      </c>
      <c r="G35" s="451">
        <f t="shared" si="7"/>
        <v>0</v>
      </c>
      <c r="H35" s="451">
        <f t="shared" si="7"/>
        <v>0</v>
      </c>
      <c r="I35" s="451">
        <f t="shared" si="7"/>
        <v>0</v>
      </c>
      <c r="J35" s="450"/>
      <c r="K35" s="364"/>
      <c r="L35" s="364"/>
      <c r="M35" s="364"/>
      <c r="N35" s="364"/>
      <c r="O35" s="364"/>
      <c r="P35" s="364"/>
    </row>
    <row r="36" ht="15.75" customHeight="1">
      <c r="A36" s="412"/>
      <c r="B36" s="448" t="s">
        <v>274</v>
      </c>
      <c r="C36" s="437"/>
      <c r="D36" s="451">
        <v>-9300.0</v>
      </c>
      <c r="E36" s="451">
        <f t="shared" ref="E36:I36" si="8">D36</f>
        <v>-9300</v>
      </c>
      <c r="F36" s="451">
        <f t="shared" si="8"/>
        <v>-9300</v>
      </c>
      <c r="G36" s="451">
        <f t="shared" si="8"/>
        <v>-9300</v>
      </c>
      <c r="H36" s="451">
        <f t="shared" si="8"/>
        <v>-9300</v>
      </c>
      <c r="I36" s="451">
        <f t="shared" si="8"/>
        <v>-9300</v>
      </c>
      <c r="J36" s="450"/>
      <c r="K36" s="364"/>
      <c r="L36" s="364"/>
      <c r="M36" s="364"/>
      <c r="N36" s="364"/>
      <c r="O36" s="364"/>
      <c r="P36" s="364"/>
    </row>
    <row r="37" ht="15.75" customHeight="1">
      <c r="A37" s="412"/>
      <c r="B37" s="448"/>
      <c r="C37" s="437"/>
      <c r="D37" s="449"/>
      <c r="E37" s="449"/>
      <c r="F37" s="449"/>
      <c r="G37" s="449"/>
      <c r="H37" s="449"/>
      <c r="I37" s="449"/>
      <c r="J37" s="450"/>
      <c r="K37" s="364"/>
      <c r="L37" s="364"/>
      <c r="M37" s="364"/>
      <c r="N37" s="364"/>
      <c r="O37" s="364"/>
      <c r="P37" s="364"/>
    </row>
    <row r="38" ht="15.75" customHeight="1">
      <c r="A38" s="412"/>
      <c r="B38" s="445" t="s">
        <v>103</v>
      </c>
      <c r="C38" s="437"/>
      <c r="D38" s="449">
        <f t="shared" ref="D38:I38" si="9">SUM(D27:D30,D33:D36)</f>
        <v>791023</v>
      </c>
      <c r="E38" s="449">
        <f t="shared" si="9"/>
        <v>811945.9</v>
      </c>
      <c r="F38" s="449">
        <f t="shared" si="9"/>
        <v>838338.338</v>
      </c>
      <c r="G38" s="449">
        <f t="shared" si="9"/>
        <v>847695.2399</v>
      </c>
      <c r="H38" s="449">
        <f t="shared" si="9"/>
        <v>872514.0953</v>
      </c>
      <c r="I38" s="449">
        <f t="shared" si="9"/>
        <v>898068.6063</v>
      </c>
      <c r="J38" s="450"/>
      <c r="K38" s="453">
        <v>0.03</v>
      </c>
      <c r="L38" s="454" t="s">
        <v>275</v>
      </c>
      <c r="M38" s="364"/>
      <c r="N38" s="364"/>
      <c r="O38" s="364"/>
      <c r="P38" s="364"/>
    </row>
    <row r="39" ht="15.75" customHeight="1">
      <c r="A39" s="412"/>
      <c r="B39" s="455"/>
      <c r="C39" s="437"/>
      <c r="D39" s="449"/>
      <c r="E39" s="449"/>
      <c r="F39" s="449"/>
      <c r="G39" s="449"/>
      <c r="H39" s="449"/>
      <c r="I39" s="449"/>
      <c r="J39" s="450"/>
      <c r="K39" s="364"/>
      <c r="L39" s="364"/>
      <c r="M39" s="364"/>
      <c r="N39" s="364"/>
      <c r="O39" s="364"/>
      <c r="P39" s="364"/>
    </row>
    <row r="40" ht="15.75" customHeight="1">
      <c r="A40" s="412"/>
      <c r="B40" s="456" t="s">
        <v>104</v>
      </c>
      <c r="C40" s="437"/>
      <c r="D40" s="457"/>
      <c r="E40" s="457"/>
      <c r="F40" s="457"/>
      <c r="G40" s="457"/>
      <c r="H40" s="457"/>
      <c r="I40" s="457"/>
      <c r="J40" s="447"/>
      <c r="K40" s="364"/>
      <c r="L40" s="364"/>
      <c r="M40" s="364"/>
      <c r="N40" s="364"/>
      <c r="O40" s="364"/>
      <c r="P40" s="364"/>
    </row>
    <row r="41" ht="15.75" customHeight="1">
      <c r="A41" s="412"/>
      <c r="B41" s="448" t="s">
        <v>107</v>
      </c>
      <c r="C41" s="437"/>
      <c r="D41" s="451">
        <v>35567.0</v>
      </c>
      <c r="E41" s="451">
        <v>0.0</v>
      </c>
      <c r="F41" s="449">
        <f t="shared" ref="F41:I41" si="10">E41+E41*$K$41</f>
        <v>0</v>
      </c>
      <c r="G41" s="449">
        <f t="shared" si="10"/>
        <v>0</v>
      </c>
      <c r="H41" s="449">
        <f t="shared" si="10"/>
        <v>0</v>
      </c>
      <c r="I41" s="449">
        <f t="shared" si="10"/>
        <v>0</v>
      </c>
      <c r="J41" s="450"/>
      <c r="K41" s="453">
        <v>0.03</v>
      </c>
      <c r="L41" s="454" t="s">
        <v>276</v>
      </c>
      <c r="M41" s="454"/>
      <c r="N41" s="458"/>
      <c r="O41" s="364"/>
      <c r="P41" s="364"/>
    </row>
    <row r="42" ht="15.75" customHeight="1">
      <c r="A42" s="412"/>
      <c r="B42" s="448" t="s">
        <v>277</v>
      </c>
      <c r="C42" s="437"/>
      <c r="D42" s="451">
        <v>0.0</v>
      </c>
      <c r="E42" s="451">
        <v>0.0</v>
      </c>
      <c r="F42" s="451">
        <v>0.0</v>
      </c>
      <c r="G42" s="451">
        <v>0.0</v>
      </c>
      <c r="H42" s="451">
        <v>0.0</v>
      </c>
      <c r="I42" s="451">
        <v>0.0</v>
      </c>
      <c r="J42" s="450"/>
      <c r="K42" s="459"/>
      <c r="L42" s="460"/>
      <c r="M42" s="460"/>
      <c r="N42" s="460"/>
      <c r="O42" s="364"/>
      <c r="P42" s="364"/>
    </row>
    <row r="43" ht="15.75" customHeight="1">
      <c r="A43" s="412"/>
      <c r="B43" s="448" t="s">
        <v>278</v>
      </c>
      <c r="C43" s="437"/>
      <c r="D43" s="451">
        <v>11862.0</v>
      </c>
      <c r="E43" s="451">
        <f t="shared" ref="E43:I43" si="11">D43</f>
        <v>11862</v>
      </c>
      <c r="F43" s="449">
        <f t="shared" si="11"/>
        <v>11862</v>
      </c>
      <c r="G43" s="449">
        <f t="shared" si="11"/>
        <v>11862</v>
      </c>
      <c r="H43" s="449">
        <f t="shared" si="11"/>
        <v>11862</v>
      </c>
      <c r="I43" s="449">
        <f t="shared" si="11"/>
        <v>11862</v>
      </c>
      <c r="J43" s="450"/>
      <c r="K43" s="461"/>
      <c r="L43" s="364"/>
      <c r="M43" s="364"/>
      <c r="N43" s="364"/>
      <c r="O43" s="364"/>
      <c r="P43" s="364"/>
    </row>
    <row r="44" ht="15.75" customHeight="1">
      <c r="A44" s="412"/>
      <c r="B44" s="448" t="s">
        <v>279</v>
      </c>
      <c r="C44" s="437"/>
      <c r="D44" s="451">
        <v>0.0</v>
      </c>
      <c r="E44" s="451">
        <v>4800.0</v>
      </c>
      <c r="F44" s="449">
        <f t="shared" ref="F44:I44" si="12">E44+E44*$K$44</f>
        <v>4944</v>
      </c>
      <c r="G44" s="449">
        <f t="shared" si="12"/>
        <v>5092.32</v>
      </c>
      <c r="H44" s="449">
        <f t="shared" si="12"/>
        <v>5245.0896</v>
      </c>
      <c r="I44" s="449">
        <f t="shared" si="12"/>
        <v>5402.442288</v>
      </c>
      <c r="J44" s="450"/>
      <c r="K44" s="453">
        <v>0.03</v>
      </c>
      <c r="L44" s="454" t="s">
        <v>276</v>
      </c>
      <c r="M44" s="454"/>
      <c r="N44" s="458"/>
      <c r="O44" s="364"/>
      <c r="P44" s="364"/>
    </row>
    <row r="45" ht="15.75" customHeight="1">
      <c r="A45" s="412"/>
      <c r="B45" s="437" t="s">
        <v>280</v>
      </c>
      <c r="C45" s="437"/>
      <c r="D45" s="451">
        <v>0.0</v>
      </c>
      <c r="E45" s="451">
        <v>10000.0</v>
      </c>
      <c r="F45" s="451">
        <v>5000.0</v>
      </c>
      <c r="G45" s="451">
        <v>5000.0</v>
      </c>
      <c r="H45" s="451">
        <v>5000.0</v>
      </c>
      <c r="I45" s="451">
        <v>5000.0</v>
      </c>
      <c r="J45" s="450"/>
      <c r="K45" s="461"/>
      <c r="L45" s="364"/>
      <c r="M45" s="364"/>
      <c r="N45" s="364"/>
      <c r="O45" s="364"/>
      <c r="P45" s="364"/>
    </row>
    <row r="46" ht="15.75" customHeight="1">
      <c r="A46" s="412"/>
      <c r="B46" s="448" t="s">
        <v>281</v>
      </c>
      <c r="C46" s="437"/>
      <c r="D46" s="451">
        <v>11511.0</v>
      </c>
      <c r="E46" s="451">
        <v>0.0</v>
      </c>
      <c r="F46" s="449">
        <f t="shared" ref="F46:I46" si="13">E46+E46*$K$46</f>
        <v>0</v>
      </c>
      <c r="G46" s="449">
        <f t="shared" si="13"/>
        <v>0</v>
      </c>
      <c r="H46" s="449">
        <f t="shared" si="13"/>
        <v>0</v>
      </c>
      <c r="I46" s="449">
        <f t="shared" si="13"/>
        <v>0</v>
      </c>
      <c r="J46" s="450"/>
      <c r="K46" s="453">
        <v>0.03</v>
      </c>
      <c r="L46" s="454" t="s">
        <v>276</v>
      </c>
      <c r="M46" s="454"/>
      <c r="N46" s="458"/>
      <c r="O46" s="364"/>
      <c r="P46" s="364"/>
    </row>
    <row r="47" ht="15.75" customHeight="1">
      <c r="A47" s="412"/>
      <c r="B47" s="448" t="s">
        <v>173</v>
      </c>
      <c r="C47" s="437"/>
      <c r="D47" s="451">
        <v>53984.0</v>
      </c>
      <c r="E47" s="449">
        <v>67138.0</v>
      </c>
      <c r="F47" s="449">
        <f t="shared" ref="F47:I47" si="14">+F38*$K$47</f>
        <v>67067.06704</v>
      </c>
      <c r="G47" s="449">
        <f t="shared" si="14"/>
        <v>67815.61919</v>
      </c>
      <c r="H47" s="449">
        <f t="shared" si="14"/>
        <v>69801.12762</v>
      </c>
      <c r="I47" s="449">
        <f t="shared" si="14"/>
        <v>71845.48851</v>
      </c>
      <c r="J47" s="450"/>
      <c r="K47" s="453">
        <v>0.08</v>
      </c>
      <c r="L47" s="454" t="s">
        <v>282</v>
      </c>
      <c r="M47" s="454"/>
      <c r="N47" s="458"/>
      <c r="O47" s="364"/>
      <c r="P47" s="364"/>
    </row>
    <row r="48" ht="15.75" customHeight="1">
      <c r="A48" s="412"/>
      <c r="B48" s="437" t="s">
        <v>283</v>
      </c>
      <c r="C48" s="437"/>
      <c r="D48" s="451">
        <v>0.0</v>
      </c>
      <c r="E48" s="451">
        <v>0.0</v>
      </c>
      <c r="F48" s="449">
        <f t="shared" ref="F48:I48" si="15">E48+$K$48</f>
        <v>0.03</v>
      </c>
      <c r="G48" s="449">
        <f t="shared" si="15"/>
        <v>0.06</v>
      </c>
      <c r="H48" s="449">
        <f t="shared" si="15"/>
        <v>0.09</v>
      </c>
      <c r="I48" s="449">
        <f t="shared" si="15"/>
        <v>0.12</v>
      </c>
      <c r="J48" s="450"/>
      <c r="K48" s="453">
        <v>0.03</v>
      </c>
      <c r="L48" s="454" t="s">
        <v>276</v>
      </c>
      <c r="M48" s="454"/>
      <c r="N48" s="458"/>
      <c r="O48" s="364"/>
      <c r="P48" s="364"/>
    </row>
    <row r="49" ht="15.75" customHeight="1">
      <c r="A49" s="412"/>
      <c r="B49" s="437" t="s">
        <v>284</v>
      </c>
      <c r="C49" s="437"/>
      <c r="D49" s="451">
        <v>0.0</v>
      </c>
      <c r="E49" s="451">
        <v>8000.0</v>
      </c>
      <c r="F49" s="451">
        <v>1500.0</v>
      </c>
      <c r="G49" s="451">
        <v>1500.0</v>
      </c>
      <c r="H49" s="451">
        <v>1500.0</v>
      </c>
      <c r="I49" s="451">
        <v>1500.0</v>
      </c>
      <c r="J49" s="450"/>
      <c r="K49" s="461"/>
      <c r="L49" s="364"/>
      <c r="M49" s="364"/>
      <c r="N49" s="364"/>
      <c r="O49" s="364"/>
      <c r="P49" s="364"/>
    </row>
    <row r="50" ht="15.75" customHeight="1">
      <c r="A50" s="412"/>
      <c r="B50" s="437" t="s">
        <v>285</v>
      </c>
      <c r="C50" s="437"/>
      <c r="D50" s="451">
        <v>18000.0</v>
      </c>
      <c r="E50" s="451">
        <v>0.0</v>
      </c>
      <c r="F50" s="451">
        <v>0.0</v>
      </c>
      <c r="G50" s="451">
        <v>0.0</v>
      </c>
      <c r="H50" s="451">
        <v>0.0</v>
      </c>
      <c r="I50" s="451">
        <v>0.0</v>
      </c>
      <c r="J50" s="450"/>
      <c r="K50" s="461"/>
      <c r="L50" s="364"/>
      <c r="M50" s="364"/>
      <c r="N50" s="364"/>
      <c r="O50" s="364"/>
      <c r="P50" s="364"/>
    </row>
    <row r="51" ht="15.75" customHeight="1">
      <c r="A51" s="412"/>
      <c r="B51" s="448" t="s">
        <v>286</v>
      </c>
      <c r="C51" s="437"/>
      <c r="D51" s="451">
        <v>0.0</v>
      </c>
      <c r="E51" s="451">
        <v>10500.0</v>
      </c>
      <c r="F51" s="449">
        <f t="shared" ref="F51:I51" si="16">E51+E51*$K$51</f>
        <v>10710</v>
      </c>
      <c r="G51" s="449">
        <f t="shared" si="16"/>
        <v>10924.2</v>
      </c>
      <c r="H51" s="449">
        <f t="shared" si="16"/>
        <v>11142.684</v>
      </c>
      <c r="I51" s="449">
        <f t="shared" si="16"/>
        <v>11365.53768</v>
      </c>
      <c r="J51" s="450"/>
      <c r="K51" s="453">
        <v>0.02</v>
      </c>
      <c r="L51" s="454" t="s">
        <v>276</v>
      </c>
      <c r="M51" s="454"/>
      <c r="N51" s="458"/>
      <c r="O51" s="364"/>
      <c r="P51" s="364"/>
    </row>
    <row r="52" ht="15.75" customHeight="1">
      <c r="A52" s="412"/>
      <c r="B52" s="448" t="s">
        <v>110</v>
      </c>
      <c r="C52" s="437"/>
      <c r="D52" s="451">
        <v>0.0</v>
      </c>
      <c r="E52" s="449">
        <f t="shared" ref="E52:E53" si="18">D52</f>
        <v>0</v>
      </c>
      <c r="F52" s="449">
        <f t="shared" ref="F52:I52" si="17">E52+E52*$K$52</f>
        <v>0</v>
      </c>
      <c r="G52" s="449">
        <f t="shared" si="17"/>
        <v>0</v>
      </c>
      <c r="H52" s="449">
        <f t="shared" si="17"/>
        <v>0</v>
      </c>
      <c r="I52" s="449">
        <f t="shared" si="17"/>
        <v>0</v>
      </c>
      <c r="J52" s="450"/>
      <c r="K52" s="453">
        <v>0.02</v>
      </c>
      <c r="L52" s="454" t="s">
        <v>276</v>
      </c>
      <c r="M52" s="454"/>
      <c r="N52" s="458"/>
      <c r="O52" s="364"/>
      <c r="P52" s="364"/>
    </row>
    <row r="53" ht="15.75" customHeight="1">
      <c r="A53" s="412"/>
      <c r="B53" s="448" t="s">
        <v>287</v>
      </c>
      <c r="C53" s="437"/>
      <c r="D53" s="451">
        <v>58812.0</v>
      </c>
      <c r="E53" s="451">
        <f t="shared" si="18"/>
        <v>58812</v>
      </c>
      <c r="F53" s="449">
        <f t="shared" ref="F53:I53" si="19">E53+E53*$K$53</f>
        <v>59988.24</v>
      </c>
      <c r="G53" s="449">
        <f t="shared" si="19"/>
        <v>61188.0048</v>
      </c>
      <c r="H53" s="449">
        <f t="shared" si="19"/>
        <v>62411.7649</v>
      </c>
      <c r="I53" s="449">
        <f t="shared" si="19"/>
        <v>63660.00019</v>
      </c>
      <c r="J53" s="450"/>
      <c r="K53" s="453">
        <v>0.02</v>
      </c>
      <c r="L53" s="454" t="s">
        <v>276</v>
      </c>
      <c r="M53" s="454"/>
      <c r="N53" s="458"/>
      <c r="O53" s="364"/>
      <c r="P53" s="364"/>
    </row>
    <row r="54" ht="30.0" customHeight="1">
      <c r="A54" s="412"/>
      <c r="B54" s="462" t="s">
        <v>288</v>
      </c>
      <c r="C54" s="463" t="s">
        <v>289</v>
      </c>
      <c r="D54" s="451">
        <v>70859.0</v>
      </c>
      <c r="E54" s="464">
        <f>E38*K54</f>
        <v>36537.5655</v>
      </c>
      <c r="F54" s="449">
        <f t="shared" ref="F54:I54" si="20">E54+E54*$K$54</f>
        <v>38181.75595</v>
      </c>
      <c r="G54" s="449">
        <f t="shared" si="20"/>
        <v>39899.93497</v>
      </c>
      <c r="H54" s="449">
        <f t="shared" si="20"/>
        <v>41695.43204</v>
      </c>
      <c r="I54" s="449">
        <f t="shared" si="20"/>
        <v>43571.72648</v>
      </c>
      <c r="J54" s="450"/>
      <c r="K54" s="465">
        <v>0.045</v>
      </c>
      <c r="L54" s="454" t="s">
        <v>276</v>
      </c>
      <c r="M54" s="454"/>
      <c r="N54" s="458"/>
      <c r="O54" s="364"/>
      <c r="P54" s="364"/>
    </row>
    <row r="55" ht="43.5" customHeight="1">
      <c r="A55" s="412"/>
      <c r="B55" s="462"/>
      <c r="C55" s="463" t="s">
        <v>290</v>
      </c>
      <c r="D55" s="451">
        <v>0.0</v>
      </c>
      <c r="E55" s="451">
        <v>0.0</v>
      </c>
      <c r="F55" s="451">
        <v>0.0</v>
      </c>
      <c r="G55" s="451">
        <v>0.0</v>
      </c>
      <c r="H55" s="451">
        <v>0.0</v>
      </c>
      <c r="I55" s="451">
        <v>0.0</v>
      </c>
      <c r="J55" s="450"/>
      <c r="K55" s="453">
        <v>0.0</v>
      </c>
      <c r="L55" s="454" t="s">
        <v>276</v>
      </c>
      <c r="M55" s="454"/>
      <c r="N55" s="458"/>
      <c r="O55" s="364"/>
      <c r="P55" s="364"/>
    </row>
    <row r="56" ht="15.75" customHeight="1">
      <c r="A56" s="412"/>
      <c r="B56" s="448" t="s">
        <v>291</v>
      </c>
      <c r="C56" s="437"/>
      <c r="D56" s="451">
        <v>1200.0</v>
      </c>
      <c r="E56" s="449">
        <v>2000.0</v>
      </c>
      <c r="F56" s="449">
        <f t="shared" ref="F56:I56" si="21">E56+E56*$K$56</f>
        <v>2060</v>
      </c>
      <c r="G56" s="449">
        <f t="shared" si="21"/>
        <v>2121.8</v>
      </c>
      <c r="H56" s="449">
        <f t="shared" si="21"/>
        <v>2185.454</v>
      </c>
      <c r="I56" s="449">
        <f t="shared" si="21"/>
        <v>2251.01762</v>
      </c>
      <c r="J56" s="450"/>
      <c r="K56" s="453">
        <v>0.03</v>
      </c>
      <c r="L56" s="454" t="s">
        <v>276</v>
      </c>
      <c r="M56" s="454"/>
      <c r="N56" s="458"/>
      <c r="O56" s="364"/>
      <c r="P56" s="364"/>
    </row>
    <row r="57" ht="15.75" customHeight="1">
      <c r="A57" s="412"/>
      <c r="B57" s="445" t="s">
        <v>175</v>
      </c>
      <c r="C57" s="437"/>
      <c r="D57" s="449">
        <f t="shared" ref="D57:I57" si="22">SUM(D41:D56)</f>
        <v>261795</v>
      </c>
      <c r="E57" s="449">
        <f t="shared" si="22"/>
        <v>209649.5655</v>
      </c>
      <c r="F57" s="449">
        <f t="shared" si="22"/>
        <v>201313.093</v>
      </c>
      <c r="G57" s="449">
        <f t="shared" si="22"/>
        <v>205403.939</v>
      </c>
      <c r="H57" s="449">
        <f t="shared" si="22"/>
        <v>210843.6422</v>
      </c>
      <c r="I57" s="449">
        <f t="shared" si="22"/>
        <v>216458.3328</v>
      </c>
      <c r="J57" s="450"/>
      <c r="K57" s="364"/>
      <c r="L57" s="364"/>
      <c r="M57" s="364"/>
      <c r="N57" s="364"/>
      <c r="O57" s="364"/>
      <c r="P57" s="364"/>
    </row>
    <row r="58" ht="15.75" customHeight="1">
      <c r="A58" s="412"/>
      <c r="B58" s="445"/>
      <c r="C58" s="437"/>
      <c r="D58" s="449"/>
      <c r="E58" s="449"/>
      <c r="F58" s="449"/>
      <c r="G58" s="449"/>
      <c r="H58" s="449"/>
      <c r="I58" s="449"/>
      <c r="J58" s="450"/>
      <c r="K58" s="364"/>
      <c r="L58" s="364"/>
      <c r="M58" s="364"/>
      <c r="N58" s="364"/>
      <c r="O58" s="364"/>
      <c r="P58" s="364"/>
    </row>
    <row r="59" ht="15.75" customHeight="1">
      <c r="A59" s="412"/>
      <c r="B59" s="448" t="s">
        <v>292</v>
      </c>
      <c r="C59" s="466"/>
      <c r="D59" s="451">
        <v>28232.0</v>
      </c>
      <c r="E59" s="451">
        <v>28232.0</v>
      </c>
      <c r="F59" s="449">
        <v>84637.0</v>
      </c>
      <c r="G59" s="449">
        <f t="shared" ref="G59:I59" si="23">F59+F59*$K$59</f>
        <v>86329.74</v>
      </c>
      <c r="H59" s="449">
        <f t="shared" si="23"/>
        <v>88056.3348</v>
      </c>
      <c r="I59" s="449">
        <f t="shared" si="23"/>
        <v>89817.4615</v>
      </c>
      <c r="J59" s="450"/>
      <c r="K59" s="453">
        <v>0.02</v>
      </c>
      <c r="L59" s="454" t="s">
        <v>276</v>
      </c>
      <c r="M59" s="454"/>
      <c r="N59" s="458"/>
      <c r="O59" s="364"/>
      <c r="P59" s="364"/>
    </row>
    <row r="60" ht="15.75" customHeight="1">
      <c r="A60" s="412"/>
      <c r="B60" s="448" t="s">
        <v>293</v>
      </c>
      <c r="C60" s="437"/>
      <c r="D60" s="451">
        <v>31285.0</v>
      </c>
      <c r="E60" s="451">
        <f>D60</f>
        <v>31285</v>
      </c>
      <c r="F60" s="449">
        <f t="shared" ref="F60:I60" si="24">E60+E60*$K$60</f>
        <v>31910.7</v>
      </c>
      <c r="G60" s="449">
        <f t="shared" si="24"/>
        <v>32548.914</v>
      </c>
      <c r="H60" s="449">
        <f t="shared" si="24"/>
        <v>33199.89228</v>
      </c>
      <c r="I60" s="449">
        <f t="shared" si="24"/>
        <v>33863.89013</v>
      </c>
      <c r="J60" s="450"/>
      <c r="K60" s="453">
        <v>0.02</v>
      </c>
      <c r="L60" s="454" t="s">
        <v>276</v>
      </c>
      <c r="M60" s="454"/>
      <c r="N60" s="458"/>
      <c r="O60" s="364"/>
      <c r="P60" s="364"/>
    </row>
    <row r="61" ht="15.75" customHeight="1">
      <c r="A61" s="412"/>
      <c r="B61" s="445" t="s">
        <v>294</v>
      </c>
      <c r="C61" s="437"/>
      <c r="D61" s="449">
        <f t="shared" ref="D61:I61" si="25">SUM(D59:D60)</f>
        <v>59517</v>
      </c>
      <c r="E61" s="449">
        <f t="shared" si="25"/>
        <v>59517</v>
      </c>
      <c r="F61" s="449">
        <f t="shared" si="25"/>
        <v>116547.7</v>
      </c>
      <c r="G61" s="449">
        <f t="shared" si="25"/>
        <v>118878.654</v>
      </c>
      <c r="H61" s="449">
        <f t="shared" si="25"/>
        <v>121256.2271</v>
      </c>
      <c r="I61" s="449">
        <f t="shared" si="25"/>
        <v>123681.3516</v>
      </c>
      <c r="J61" s="450"/>
      <c r="K61" s="364"/>
      <c r="L61" s="364"/>
      <c r="M61" s="364"/>
      <c r="N61" s="364"/>
      <c r="O61" s="364"/>
      <c r="P61" s="364"/>
    </row>
    <row r="62" ht="15.75" customHeight="1">
      <c r="A62" s="412"/>
      <c r="B62" s="448"/>
      <c r="C62" s="437"/>
      <c r="D62" s="449"/>
      <c r="E62" s="449"/>
      <c r="F62" s="449"/>
      <c r="G62" s="467"/>
      <c r="H62" s="467"/>
      <c r="I62" s="449"/>
      <c r="J62" s="412"/>
      <c r="K62" s="364"/>
      <c r="L62" s="364"/>
      <c r="M62" s="364"/>
      <c r="N62" s="364"/>
      <c r="O62" s="364"/>
      <c r="P62" s="364"/>
    </row>
    <row r="63" ht="15.75" customHeight="1">
      <c r="A63" s="412"/>
      <c r="B63" s="445" t="s">
        <v>115</v>
      </c>
      <c r="C63" s="437"/>
      <c r="D63" s="449">
        <f t="shared" ref="D63:I63" si="26">D57+D61</f>
        <v>321312</v>
      </c>
      <c r="E63" s="449">
        <f t="shared" si="26"/>
        <v>269166.5655</v>
      </c>
      <c r="F63" s="449">
        <f t="shared" si="26"/>
        <v>317860.793</v>
      </c>
      <c r="G63" s="449">
        <f t="shared" si="26"/>
        <v>324282.593</v>
      </c>
      <c r="H63" s="449">
        <f t="shared" si="26"/>
        <v>332099.8692</v>
      </c>
      <c r="I63" s="449">
        <f t="shared" si="26"/>
        <v>340139.6844</v>
      </c>
      <c r="J63" s="450"/>
      <c r="K63" s="364"/>
      <c r="L63" s="364"/>
      <c r="M63" s="364"/>
      <c r="N63" s="364"/>
      <c r="O63" s="364"/>
      <c r="P63" s="364"/>
    </row>
    <row r="64" ht="15.75" customHeight="1">
      <c r="A64" s="412"/>
      <c r="B64" s="455"/>
      <c r="C64" s="437"/>
      <c r="D64" s="449"/>
      <c r="E64" s="449"/>
      <c r="F64" s="449"/>
      <c r="G64" s="449"/>
      <c r="H64" s="449"/>
      <c r="I64" s="449"/>
      <c r="J64" s="450"/>
      <c r="K64" s="364"/>
      <c r="L64" s="364"/>
      <c r="M64" s="364"/>
      <c r="N64" s="364"/>
      <c r="O64" s="364"/>
      <c r="P64" s="364"/>
    </row>
    <row r="65" ht="15.75" customHeight="1">
      <c r="A65" s="412"/>
      <c r="B65" s="445" t="s">
        <v>116</v>
      </c>
      <c r="C65" s="437"/>
      <c r="D65" s="449">
        <f t="shared" ref="D65:I65" si="27">D38-D63</f>
        <v>469711</v>
      </c>
      <c r="E65" s="449">
        <f t="shared" si="27"/>
        <v>542779.3345</v>
      </c>
      <c r="F65" s="449">
        <f t="shared" si="27"/>
        <v>520477.545</v>
      </c>
      <c r="G65" s="449">
        <f t="shared" si="27"/>
        <v>523412.6469</v>
      </c>
      <c r="H65" s="449">
        <f t="shared" si="27"/>
        <v>540414.2261</v>
      </c>
      <c r="I65" s="449">
        <f t="shared" si="27"/>
        <v>557928.9219</v>
      </c>
      <c r="J65" s="450"/>
      <c r="K65" s="364"/>
      <c r="L65" s="364"/>
      <c r="M65" s="364"/>
      <c r="N65" s="364"/>
      <c r="O65" s="364"/>
      <c r="P65" s="364"/>
    </row>
    <row r="66" ht="15.75" customHeight="1">
      <c r="A66" s="412"/>
      <c r="B66" s="448"/>
      <c r="C66" s="467"/>
      <c r="D66" s="467"/>
      <c r="E66" s="449"/>
      <c r="F66" s="449"/>
      <c r="G66" s="449"/>
      <c r="H66" s="449"/>
      <c r="I66" s="449"/>
      <c r="J66" s="450"/>
      <c r="K66" s="364"/>
      <c r="L66" s="364"/>
      <c r="M66" s="364"/>
      <c r="N66" s="364"/>
      <c r="O66" s="364"/>
      <c r="P66" s="364"/>
    </row>
    <row r="67" ht="15.75" customHeight="1">
      <c r="A67" s="412"/>
      <c r="B67" s="445" t="s">
        <v>295</v>
      </c>
      <c r="C67" s="437"/>
      <c r="D67" s="449">
        <f t="shared" ref="D67:I67" si="28">+D65</f>
        <v>469711</v>
      </c>
      <c r="E67" s="449">
        <f t="shared" si="28"/>
        <v>542779.3345</v>
      </c>
      <c r="F67" s="449">
        <f t="shared" si="28"/>
        <v>520477.545</v>
      </c>
      <c r="G67" s="449">
        <f t="shared" si="28"/>
        <v>523412.6469</v>
      </c>
      <c r="H67" s="449">
        <f t="shared" si="28"/>
        <v>540414.2261</v>
      </c>
      <c r="I67" s="449">
        <f t="shared" si="28"/>
        <v>557928.9219</v>
      </c>
      <c r="J67" s="450"/>
      <c r="K67" s="364"/>
      <c r="L67" s="364"/>
      <c r="M67" s="364"/>
      <c r="N67" s="364"/>
      <c r="O67" s="364"/>
      <c r="P67" s="364"/>
    </row>
    <row r="68" ht="15.75" customHeight="1">
      <c r="A68" s="412"/>
      <c r="B68" s="445" t="s">
        <v>177</v>
      </c>
      <c r="C68" s="437"/>
      <c r="D68" s="449">
        <f>E68</f>
        <v>216531.1224</v>
      </c>
      <c r="E68" s="449">
        <f>D13</f>
        <v>216531.1224</v>
      </c>
      <c r="F68" s="449">
        <f t="shared" ref="F68:I68" si="29">E68</f>
        <v>216531.1224</v>
      </c>
      <c r="G68" s="449">
        <f t="shared" si="29"/>
        <v>216531.1224</v>
      </c>
      <c r="H68" s="449">
        <f t="shared" si="29"/>
        <v>216531.1224</v>
      </c>
      <c r="I68" s="449">
        <f t="shared" si="29"/>
        <v>216531.1224</v>
      </c>
      <c r="J68" s="450"/>
      <c r="K68" s="364"/>
      <c r="L68" s="364"/>
      <c r="M68" s="364"/>
      <c r="N68" s="364"/>
      <c r="O68" s="364"/>
      <c r="P68" s="364"/>
    </row>
    <row r="69" ht="15.75" customHeight="1">
      <c r="A69" s="412"/>
      <c r="B69" s="445" t="s">
        <v>45</v>
      </c>
      <c r="C69" s="437"/>
      <c r="D69" s="449">
        <f>D67-D68</f>
        <v>253179.8776</v>
      </c>
      <c r="E69" s="449">
        <f>+E65-(E66+E68)</f>
        <v>326248.2121</v>
      </c>
      <c r="F69" s="449">
        <f t="shared" ref="F69:I69" si="30">+F65-F68</f>
        <v>303946.4226</v>
      </c>
      <c r="G69" s="449">
        <f t="shared" si="30"/>
        <v>306881.5245</v>
      </c>
      <c r="H69" s="449">
        <f t="shared" si="30"/>
        <v>323883.1037</v>
      </c>
      <c r="I69" s="449">
        <f t="shared" si="30"/>
        <v>341397.7995</v>
      </c>
      <c r="J69" s="450"/>
      <c r="K69" s="364"/>
      <c r="L69" s="364"/>
      <c r="M69" s="364"/>
      <c r="N69" s="364"/>
      <c r="O69" s="364"/>
      <c r="P69" s="364"/>
    </row>
    <row r="70" ht="15.75" customHeight="1">
      <c r="A70" s="412"/>
      <c r="B70" s="445" t="s">
        <v>296</v>
      </c>
      <c r="C70" s="437"/>
      <c r="D70" s="449">
        <f>E70</f>
        <v>96187.47258</v>
      </c>
      <c r="E70" s="449">
        <f>Amortization!F14</f>
        <v>96187.47258</v>
      </c>
      <c r="F70" s="449">
        <f>Amortization!F26</f>
        <v>98866.22406</v>
      </c>
      <c r="G70" s="449">
        <f>Amortization!F38</f>
        <v>101619.5768</v>
      </c>
      <c r="H70" s="449">
        <f>Amortization!F50</f>
        <v>104449.6085</v>
      </c>
      <c r="I70" s="449">
        <f>Amortization!F62</f>
        <v>107358.4544</v>
      </c>
      <c r="J70" s="450"/>
      <c r="K70" s="364"/>
      <c r="L70" s="364"/>
      <c r="M70" s="364"/>
      <c r="N70" s="364"/>
      <c r="O70" s="364"/>
      <c r="P70" s="364"/>
    </row>
    <row r="71" ht="15.75" customHeight="1">
      <c r="A71" s="412"/>
      <c r="B71" s="468" t="s">
        <v>297</v>
      </c>
      <c r="C71" s="427"/>
      <c r="D71" s="449">
        <f t="shared" ref="D71:I71" si="31">D69+D70</f>
        <v>349367.3502</v>
      </c>
      <c r="E71" s="449">
        <f t="shared" si="31"/>
        <v>422435.6847</v>
      </c>
      <c r="F71" s="449">
        <f t="shared" si="31"/>
        <v>402812.6467</v>
      </c>
      <c r="G71" s="449">
        <f t="shared" si="31"/>
        <v>408501.1014</v>
      </c>
      <c r="H71" s="449">
        <f t="shared" si="31"/>
        <v>428332.7121</v>
      </c>
      <c r="I71" s="449">
        <f t="shared" si="31"/>
        <v>448756.254</v>
      </c>
      <c r="J71" s="450"/>
      <c r="K71" s="364"/>
      <c r="L71" s="364"/>
      <c r="M71" s="364"/>
      <c r="N71" s="364"/>
      <c r="O71" s="364"/>
      <c r="P71" s="364"/>
    </row>
    <row r="72" ht="15.75" customHeight="1">
      <c r="A72" s="412"/>
      <c r="B72" s="445" t="s">
        <v>46</v>
      </c>
      <c r="C72" s="437"/>
      <c r="D72" s="469">
        <f>D69/D11</f>
        <v>0.2068885619</v>
      </c>
      <c r="E72" s="470">
        <f>E69/D11</f>
        <v>0.266597109</v>
      </c>
      <c r="F72" s="470">
        <f t="shared" ref="F72:I72" si="32">F69/$D9</f>
        <v>0.2750646358</v>
      </c>
      <c r="G72" s="470">
        <f t="shared" si="32"/>
        <v>0.2777208367</v>
      </c>
      <c r="H72" s="470">
        <f t="shared" si="32"/>
        <v>0.2931068811</v>
      </c>
      <c r="I72" s="470">
        <f t="shared" si="32"/>
        <v>0.3089572847</v>
      </c>
      <c r="J72" s="450"/>
      <c r="K72" s="364"/>
      <c r="L72" s="364"/>
      <c r="M72" s="364"/>
      <c r="N72" s="364"/>
      <c r="O72" s="364"/>
      <c r="P72" s="364"/>
    </row>
    <row r="73" ht="15.75" customHeight="1">
      <c r="A73" s="412"/>
      <c r="B73" s="445" t="s">
        <v>298</v>
      </c>
      <c r="C73" s="448"/>
      <c r="D73" s="471">
        <f t="shared" ref="D73:I73" si="33">D65/$D7</f>
        <v>0.08501556561</v>
      </c>
      <c r="E73" s="471">
        <f t="shared" si="33"/>
        <v>0.09824060353</v>
      </c>
      <c r="F73" s="471">
        <f t="shared" si="33"/>
        <v>0.09420408055</v>
      </c>
      <c r="G73" s="471">
        <f t="shared" si="33"/>
        <v>0.09473532071</v>
      </c>
      <c r="H73" s="471">
        <f t="shared" si="33"/>
        <v>0.0978125296</v>
      </c>
      <c r="I73" s="471">
        <f t="shared" si="33"/>
        <v>0.1009826103</v>
      </c>
      <c r="J73" s="412"/>
      <c r="K73" s="364"/>
      <c r="L73" s="364"/>
      <c r="M73" s="364"/>
      <c r="N73" s="364"/>
      <c r="O73" s="364"/>
      <c r="P73" s="364"/>
    </row>
    <row r="74" ht="15.75" customHeight="1">
      <c r="A74" s="412"/>
      <c r="B74" s="445" t="s">
        <v>299</v>
      </c>
      <c r="C74" s="437"/>
      <c r="D74" s="472">
        <f>D71/$D9</f>
        <v>0.3161695477</v>
      </c>
      <c r="E74" s="471">
        <f>E71/D11</f>
        <v>0.3451976994</v>
      </c>
      <c r="F74" s="471">
        <f t="shared" ref="F74:I74" si="34">F71/$D9</f>
        <v>0.3645363318</v>
      </c>
      <c r="G74" s="471">
        <f t="shared" si="34"/>
        <v>0.3696842546</v>
      </c>
      <c r="H74" s="471">
        <f t="shared" si="34"/>
        <v>0.3876314137</v>
      </c>
      <c r="I74" s="471">
        <f t="shared" si="34"/>
        <v>0.406114257</v>
      </c>
      <c r="J74" s="450"/>
      <c r="K74" s="364"/>
      <c r="L74" s="364"/>
      <c r="M74" s="364"/>
      <c r="N74" s="364"/>
      <c r="O74" s="364"/>
      <c r="P74" s="364"/>
    </row>
    <row r="75" ht="15.75" customHeight="1">
      <c r="A75" s="412"/>
      <c r="B75" s="412"/>
      <c r="C75" s="412"/>
      <c r="D75" s="412"/>
      <c r="E75" s="412"/>
      <c r="F75" s="412"/>
      <c r="G75" s="412"/>
      <c r="H75" s="412"/>
      <c r="I75" s="412"/>
      <c r="J75" s="412"/>
      <c r="K75" s="364"/>
      <c r="L75" s="364"/>
      <c r="M75" s="364"/>
      <c r="N75" s="364"/>
      <c r="O75" s="364"/>
      <c r="P75" s="364"/>
    </row>
    <row r="76" ht="15.75" customHeight="1">
      <c r="A76" s="412"/>
      <c r="B76" s="468" t="s">
        <v>300</v>
      </c>
      <c r="C76" s="427"/>
      <c r="D76" s="467"/>
      <c r="E76" s="427"/>
      <c r="F76" s="427"/>
      <c r="G76" s="427"/>
      <c r="H76" s="427"/>
      <c r="I76" s="427"/>
      <c r="J76" s="412"/>
      <c r="K76" s="364"/>
      <c r="L76" s="364"/>
      <c r="M76" s="364"/>
      <c r="N76" s="364"/>
      <c r="O76" s="364"/>
      <c r="P76" s="364"/>
    </row>
    <row r="77" ht="15.75" customHeight="1">
      <c r="A77" s="412"/>
      <c r="B77" s="448" t="s">
        <v>48</v>
      </c>
      <c r="C77" s="437"/>
      <c r="D77" s="473">
        <f>D65/D68</f>
        <v>2.169253984</v>
      </c>
      <c r="E77" s="474">
        <f t="shared" ref="E77:I77" si="35">(E65)/(E68)</f>
        <v>2.506703556</v>
      </c>
      <c r="F77" s="474">
        <f t="shared" si="35"/>
        <v>2.403707787</v>
      </c>
      <c r="G77" s="474">
        <f t="shared" si="35"/>
        <v>2.417262891</v>
      </c>
      <c r="H77" s="474">
        <f t="shared" si="35"/>
        <v>2.495780838</v>
      </c>
      <c r="I77" s="474">
        <f t="shared" si="35"/>
        <v>2.576668498</v>
      </c>
      <c r="J77" s="475"/>
      <c r="K77" s="364"/>
      <c r="L77" s="364"/>
      <c r="M77" s="364"/>
      <c r="N77" s="364"/>
      <c r="O77" s="364"/>
      <c r="P77" s="364"/>
    </row>
    <row r="78" ht="15.75" customHeight="1">
      <c r="A78" s="412"/>
      <c r="B78" s="448" t="s">
        <v>301</v>
      </c>
      <c r="C78" s="437"/>
      <c r="D78" s="474">
        <f t="shared" ref="D78:I78" si="36">$D7/D27</f>
        <v>8.000289603</v>
      </c>
      <c r="E78" s="474">
        <f t="shared" si="36"/>
        <v>7.757979134</v>
      </c>
      <c r="F78" s="474">
        <f t="shared" si="36"/>
        <v>7.533494393</v>
      </c>
      <c r="G78" s="474">
        <f t="shared" si="36"/>
        <v>7.314910166</v>
      </c>
      <c r="H78" s="474">
        <f t="shared" si="36"/>
        <v>7.10185453</v>
      </c>
      <c r="I78" s="474">
        <f t="shared" si="36"/>
        <v>6.895004398</v>
      </c>
      <c r="J78" s="476"/>
      <c r="K78" s="364"/>
      <c r="L78" s="364"/>
      <c r="M78" s="364"/>
      <c r="N78" s="364"/>
      <c r="O78" s="364"/>
      <c r="P78" s="364"/>
    </row>
    <row r="79" ht="15.75" customHeight="1">
      <c r="A79" s="412"/>
      <c r="B79" s="448" t="s">
        <v>302</v>
      </c>
      <c r="C79" s="437"/>
      <c r="D79" s="477"/>
      <c r="E79" s="477">
        <f t="shared" ref="E79:I79" si="37">(E63)/(E38)</f>
        <v>0.331508005</v>
      </c>
      <c r="F79" s="477">
        <f t="shared" si="37"/>
        <v>0.3791557401</v>
      </c>
      <c r="G79" s="477">
        <f t="shared" si="37"/>
        <v>0.3825462002</v>
      </c>
      <c r="H79" s="477">
        <f t="shared" si="37"/>
        <v>0.3806240736</v>
      </c>
      <c r="I79" s="477">
        <f t="shared" si="37"/>
        <v>0.3787457684</v>
      </c>
      <c r="J79" s="478"/>
      <c r="K79" s="364"/>
      <c r="L79" s="364"/>
      <c r="M79" s="364"/>
      <c r="N79" s="364"/>
      <c r="O79" s="364"/>
      <c r="P79" s="364"/>
    </row>
    <row r="80" ht="15.75" customHeight="1">
      <c r="A80" s="412"/>
      <c r="B80" s="448"/>
      <c r="C80" s="437"/>
      <c r="D80" s="477"/>
      <c r="E80" s="477"/>
      <c r="F80" s="477"/>
      <c r="G80" s="477"/>
      <c r="H80" s="477"/>
      <c r="I80" s="477"/>
      <c r="J80" s="478"/>
      <c r="K80" s="364"/>
      <c r="L80" s="364"/>
      <c r="M80" s="364"/>
      <c r="N80" s="364"/>
      <c r="O80" s="364"/>
      <c r="P80" s="364"/>
    </row>
    <row r="81" ht="15.75" customHeight="1">
      <c r="A81" s="412"/>
      <c r="B81" s="479" t="s">
        <v>160</v>
      </c>
      <c r="C81" s="437"/>
      <c r="D81" s="477"/>
      <c r="E81" s="477"/>
      <c r="F81" s="477"/>
      <c r="G81" s="477"/>
      <c r="H81" s="477"/>
      <c r="I81" s="477"/>
      <c r="J81" s="478"/>
      <c r="K81" s="364"/>
      <c r="L81" s="364"/>
      <c r="M81" s="364"/>
      <c r="N81" s="364"/>
      <c r="O81" s="364"/>
      <c r="P81" s="364"/>
    </row>
    <row r="82" ht="15.75" customHeight="1">
      <c r="A82" s="412"/>
      <c r="B82" s="479" t="s">
        <v>303</v>
      </c>
      <c r="C82" s="437"/>
      <c r="D82" s="477"/>
      <c r="E82" s="477"/>
      <c r="F82" s="477"/>
      <c r="G82" s="477"/>
      <c r="H82" s="477"/>
      <c r="I82" s="477"/>
      <c r="J82" s="412"/>
      <c r="K82" s="364"/>
      <c r="L82" s="364"/>
      <c r="M82" s="364"/>
      <c r="N82" s="364"/>
      <c r="O82" s="364"/>
      <c r="P82" s="364"/>
    </row>
    <row r="83" ht="15.75" customHeight="1">
      <c r="A83" s="412"/>
      <c r="B83" s="480" t="s">
        <v>304</v>
      </c>
      <c r="C83" s="481"/>
      <c r="D83" s="481"/>
      <c r="E83" s="412"/>
      <c r="F83" s="478"/>
      <c r="G83" s="478"/>
      <c r="H83" s="478"/>
      <c r="I83" s="478"/>
      <c r="J83" s="478"/>
      <c r="K83" s="364"/>
      <c r="L83" s="364"/>
      <c r="M83" s="364"/>
      <c r="N83" s="364"/>
      <c r="O83" s="364"/>
      <c r="P83" s="364"/>
    </row>
    <row r="84" ht="15.75" customHeight="1">
      <c r="A84" s="412"/>
      <c r="B84" s="412"/>
      <c r="C84" s="412"/>
      <c r="D84" s="412"/>
      <c r="E84" s="412"/>
      <c r="F84" s="412"/>
      <c r="G84" s="412"/>
      <c r="H84" s="412"/>
      <c r="I84" s="412"/>
      <c r="J84" s="412"/>
      <c r="K84" s="364"/>
      <c r="L84" s="364"/>
      <c r="M84" s="364"/>
      <c r="N84" s="364"/>
      <c r="O84" s="364"/>
      <c r="P84" s="364"/>
    </row>
    <row r="85" ht="15.75" customHeight="1">
      <c r="A85" s="412"/>
      <c r="B85" s="482"/>
      <c r="C85" s="447"/>
      <c r="D85" s="478"/>
      <c r="E85" s="478"/>
      <c r="F85" s="478"/>
      <c r="G85" s="478"/>
      <c r="H85" s="478"/>
      <c r="I85" s="478"/>
      <c r="J85" s="478"/>
      <c r="K85" s="364"/>
      <c r="L85" s="364"/>
      <c r="M85" s="364"/>
      <c r="N85" s="364"/>
      <c r="O85" s="364"/>
      <c r="P85" s="364"/>
    </row>
    <row r="86" ht="15.75" customHeight="1">
      <c r="A86" s="412"/>
      <c r="B86" s="482"/>
      <c r="C86" s="447"/>
      <c r="D86" s="478"/>
      <c r="E86" s="478"/>
      <c r="F86" s="478"/>
      <c r="G86" s="478"/>
      <c r="H86" s="478"/>
      <c r="I86" s="478"/>
      <c r="J86" s="478"/>
      <c r="K86" s="364"/>
      <c r="L86" s="364"/>
      <c r="M86" s="364"/>
      <c r="N86" s="364"/>
      <c r="O86" s="364"/>
      <c r="P86" s="364"/>
    </row>
    <row r="87" ht="12.75" customHeight="1">
      <c r="A87" s="483"/>
      <c r="B87" s="435"/>
      <c r="C87" s="435"/>
      <c r="D87" s="435"/>
      <c r="E87" s="435"/>
      <c r="F87" s="435"/>
      <c r="G87" s="435"/>
      <c r="H87" s="435"/>
      <c r="I87" s="435"/>
      <c r="J87" s="435"/>
      <c r="K87" s="364"/>
      <c r="L87" s="364"/>
      <c r="M87" s="364"/>
      <c r="N87" s="364"/>
      <c r="O87" s="364"/>
      <c r="P87" s="364"/>
    </row>
    <row r="88" ht="12.75" customHeight="1">
      <c r="A88" s="440"/>
      <c r="K88" s="364"/>
      <c r="L88" s="364"/>
      <c r="M88" s="364"/>
      <c r="N88" s="364"/>
      <c r="O88" s="364"/>
      <c r="P88" s="364"/>
    </row>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21:D23"/>
    <mergeCell ref="E21:I22"/>
    <mergeCell ref="A87:J88"/>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6.38"/>
    <col customWidth="1" min="2" max="2" width="8.0"/>
    <col customWidth="1" min="3" max="3" width="18.25"/>
    <col customWidth="1" min="4" max="4" width="22.38"/>
    <col customWidth="1" min="5" max="5" width="11.25"/>
    <col customWidth="1" min="6" max="7" width="8.0"/>
    <col customWidth="1" min="8" max="9" width="14.13"/>
    <col customWidth="1" min="10" max="10" width="17.38"/>
    <col customWidth="1" min="11" max="11" width="8.0"/>
    <col customWidth="1" min="12" max="26" width="14.38"/>
  </cols>
  <sheetData>
    <row r="1" ht="12.75" customHeight="1">
      <c r="A1" s="484" t="s">
        <v>305</v>
      </c>
    </row>
    <row r="2" ht="23.25" customHeight="1">
      <c r="A2" s="485" t="s">
        <v>306</v>
      </c>
      <c r="B2" s="5"/>
      <c r="C2" s="5"/>
      <c r="D2" s="5"/>
    </row>
    <row r="3" ht="12.75" customHeight="1">
      <c r="A3" s="192" t="s">
        <v>307</v>
      </c>
      <c r="B3" s="484" t="s">
        <v>308</v>
      </c>
      <c r="C3" s="486" t="s">
        <v>309</v>
      </c>
      <c r="D3" s="486" t="s">
        <v>310</v>
      </c>
      <c r="E3" s="484" t="s">
        <v>311</v>
      </c>
    </row>
    <row r="4" ht="15.75" customHeight="1">
      <c r="A4" s="487" t="s">
        <v>312</v>
      </c>
      <c r="B4" s="488">
        <v>1.0</v>
      </c>
      <c r="C4" s="489">
        <f t="shared" ref="C4:C5" si="1">E4</f>
        <v>750</v>
      </c>
      <c r="D4" s="489">
        <f t="shared" ref="D4:D10" si="2">B4*C4</f>
        <v>750</v>
      </c>
      <c r="E4" s="490">
        <v>750.0</v>
      </c>
    </row>
    <row r="5" ht="15.75" customHeight="1">
      <c r="A5" s="487" t="s">
        <v>312</v>
      </c>
      <c r="B5" s="488">
        <v>0.0</v>
      </c>
      <c r="C5" s="489">
        <f t="shared" si="1"/>
        <v>0</v>
      </c>
      <c r="D5" s="489">
        <f t="shared" si="2"/>
        <v>0</v>
      </c>
      <c r="E5" s="490">
        <v>0.0</v>
      </c>
    </row>
    <row r="6" ht="15.75" customHeight="1">
      <c r="A6" s="487" t="s">
        <v>313</v>
      </c>
      <c r="B6" s="488">
        <v>24.0</v>
      </c>
      <c r="C6" s="489">
        <v>800.0</v>
      </c>
      <c r="D6" s="489">
        <f t="shared" si="2"/>
        <v>19200</v>
      </c>
      <c r="E6" s="490">
        <v>800.0</v>
      </c>
      <c r="H6" s="487" t="s">
        <v>314</v>
      </c>
    </row>
    <row r="7" ht="15.75" customHeight="1">
      <c r="A7" s="487" t="s">
        <v>313</v>
      </c>
      <c r="B7" s="488">
        <v>47.0</v>
      </c>
      <c r="C7" s="489">
        <v>800.0</v>
      </c>
      <c r="D7" s="489">
        <f t="shared" si="2"/>
        <v>37600</v>
      </c>
      <c r="E7" s="490">
        <v>800.0</v>
      </c>
      <c r="H7" s="487" t="s">
        <v>315</v>
      </c>
    </row>
    <row r="8" ht="15.75" customHeight="1">
      <c r="A8" s="487"/>
      <c r="B8" s="488"/>
      <c r="C8" s="489" t="str">
        <f t="shared" ref="C8:C10" si="3">E8</f>
        <v/>
      </c>
      <c r="D8" s="489">
        <f t="shared" si="2"/>
        <v>0</v>
      </c>
      <c r="E8" s="490"/>
      <c r="H8" s="487" t="s">
        <v>316</v>
      </c>
    </row>
    <row r="9" ht="15.75" customHeight="1">
      <c r="A9" s="487"/>
      <c r="B9" s="488"/>
      <c r="C9" s="489" t="str">
        <f t="shared" si="3"/>
        <v/>
      </c>
      <c r="D9" s="489">
        <f t="shared" si="2"/>
        <v>0</v>
      </c>
      <c r="E9" s="490"/>
    </row>
    <row r="10" ht="15.75" customHeight="1">
      <c r="A10" s="487"/>
      <c r="B10" s="488"/>
      <c r="C10" s="489" t="str">
        <f t="shared" si="3"/>
        <v/>
      </c>
      <c r="D10" s="489">
        <f t="shared" si="2"/>
        <v>0</v>
      </c>
      <c r="E10" s="490"/>
    </row>
    <row r="11" ht="15.75" customHeight="1">
      <c r="A11" s="484" t="s">
        <v>317</v>
      </c>
      <c r="B11" s="491">
        <f>SUM(B4:B10)</f>
        <v>72</v>
      </c>
      <c r="C11" s="492"/>
      <c r="D11" s="489"/>
    </row>
    <row r="12" ht="15.75" customHeight="1">
      <c r="A12" s="484" t="s">
        <v>318</v>
      </c>
      <c r="B12" s="192"/>
      <c r="D12" s="489">
        <f>SUM(D4:D8)*12</f>
        <v>690600</v>
      </c>
    </row>
    <row r="13" ht="23.25" customHeight="1">
      <c r="B13" s="485" t="s">
        <v>319</v>
      </c>
      <c r="C13" s="5"/>
      <c r="D13" s="5"/>
      <c r="J13" s="493" t="s">
        <v>320</v>
      </c>
    </row>
    <row r="14" ht="12.75" customHeight="1">
      <c r="A14" s="192" t="s">
        <v>307</v>
      </c>
      <c r="B14" s="484" t="s">
        <v>308</v>
      </c>
      <c r="C14" s="486" t="s">
        <v>309</v>
      </c>
      <c r="D14" s="486" t="s">
        <v>310</v>
      </c>
      <c r="E14" s="484" t="s">
        <v>311</v>
      </c>
    </row>
    <row r="15" ht="15.75" customHeight="1">
      <c r="A15" s="192" t="str">
        <f t="shared" ref="A15:B15" si="4">A4</f>
        <v>One Bedroom</v>
      </c>
      <c r="B15" s="491">
        <f t="shared" si="4"/>
        <v>1</v>
      </c>
      <c r="C15" s="489">
        <f>C4+(C4*0.03)</f>
        <v>772.5</v>
      </c>
      <c r="D15" s="489">
        <f t="shared" ref="D15:D21" si="6">B15*C15</f>
        <v>772.5</v>
      </c>
      <c r="E15" s="494">
        <v>766.67</v>
      </c>
      <c r="J15" s="495">
        <f t="shared" ref="J15:J21" si="7">(E15-E4)/E4</f>
        <v>0.02222666667</v>
      </c>
      <c r="K15" s="484" t="str">
        <f t="shared" ref="K15:K21" si="8">A15</f>
        <v>One Bedroom</v>
      </c>
    </row>
    <row r="16" ht="15.75" customHeight="1">
      <c r="A16" s="192" t="str">
        <f t="shared" ref="A16:B16" si="5">A5</f>
        <v>One Bedroom</v>
      </c>
      <c r="B16" s="491">
        <f t="shared" si="5"/>
        <v>0</v>
      </c>
      <c r="C16" s="489">
        <v>0.0</v>
      </c>
      <c r="D16" s="489">
        <f t="shared" si="6"/>
        <v>0</v>
      </c>
      <c r="E16" s="494">
        <v>0.0</v>
      </c>
      <c r="J16" s="495" t="str">
        <f t="shared" si="7"/>
        <v>#DIV/0!</v>
      </c>
      <c r="K16" s="484" t="str">
        <f t="shared" si="8"/>
        <v>One Bedroom</v>
      </c>
    </row>
    <row r="17" ht="15.75" customHeight="1">
      <c r="A17" s="192" t="str">
        <f t="shared" ref="A17:B17" si="9">A6</f>
        <v>Two Bedroom</v>
      </c>
      <c r="B17" s="491">
        <f t="shared" si="9"/>
        <v>24</v>
      </c>
      <c r="C17" s="489">
        <v>825.0</v>
      </c>
      <c r="D17" s="489">
        <f t="shared" si="6"/>
        <v>19800</v>
      </c>
      <c r="E17" s="494">
        <v>900.0</v>
      </c>
      <c r="J17" s="495">
        <f t="shared" si="7"/>
        <v>0.125</v>
      </c>
      <c r="K17" s="484" t="str">
        <f t="shared" si="8"/>
        <v>Two Bedroom</v>
      </c>
    </row>
    <row r="18" ht="15.75" customHeight="1">
      <c r="A18" s="192" t="str">
        <f t="shared" ref="A18:B18" si="10">A7</f>
        <v>Two Bedroom</v>
      </c>
      <c r="B18" s="491">
        <f t="shared" si="10"/>
        <v>47</v>
      </c>
      <c r="C18" s="489">
        <v>825.0</v>
      </c>
      <c r="D18" s="489">
        <f t="shared" si="6"/>
        <v>38775</v>
      </c>
      <c r="E18" s="494">
        <v>925.0</v>
      </c>
      <c r="J18" s="495">
        <f t="shared" si="7"/>
        <v>0.15625</v>
      </c>
      <c r="K18" s="484" t="str">
        <f t="shared" si="8"/>
        <v>Two Bedroom</v>
      </c>
    </row>
    <row r="19" ht="15.75" customHeight="1">
      <c r="A19" s="192" t="str">
        <f t="shared" ref="A19:B19" si="11">A8</f>
        <v/>
      </c>
      <c r="B19" s="491" t="str">
        <f t="shared" si="11"/>
        <v/>
      </c>
      <c r="C19" s="489">
        <f t="shared" ref="C19:C21" si="13">E19</f>
        <v>0</v>
      </c>
      <c r="D19" s="489">
        <f t="shared" si="6"/>
        <v>0</v>
      </c>
      <c r="E19" s="494">
        <f t="shared" ref="E19:E21" si="14">H42</f>
        <v>0</v>
      </c>
      <c r="J19" s="495" t="str">
        <f t="shared" si="7"/>
        <v>#DIV/0!</v>
      </c>
      <c r="K19" s="484" t="str">
        <f t="shared" si="8"/>
        <v/>
      </c>
    </row>
    <row r="20" ht="15.75" customHeight="1">
      <c r="A20" s="192" t="str">
        <f t="shared" ref="A20:B20" si="12">A9</f>
        <v/>
      </c>
      <c r="B20" s="491" t="str">
        <f t="shared" si="12"/>
        <v/>
      </c>
      <c r="C20" s="489">
        <f t="shared" si="13"/>
        <v>0</v>
      </c>
      <c r="D20" s="489">
        <f t="shared" si="6"/>
        <v>0</v>
      </c>
      <c r="E20" s="494">
        <f t="shared" si="14"/>
        <v>0</v>
      </c>
      <c r="J20" s="495" t="str">
        <f t="shared" si="7"/>
        <v>#DIV/0!</v>
      </c>
      <c r="K20" s="484" t="str">
        <f t="shared" si="8"/>
        <v/>
      </c>
    </row>
    <row r="21" ht="15.75" customHeight="1">
      <c r="A21" s="192" t="str">
        <f t="shared" ref="A21:B21" si="15">A10</f>
        <v/>
      </c>
      <c r="B21" s="491" t="str">
        <f t="shared" si="15"/>
        <v/>
      </c>
      <c r="C21" s="489">
        <f t="shared" si="13"/>
        <v>0</v>
      </c>
      <c r="D21" s="489">
        <f t="shared" si="6"/>
        <v>0</v>
      </c>
      <c r="E21" s="494">
        <f t="shared" si="14"/>
        <v>0</v>
      </c>
      <c r="J21" s="495" t="str">
        <f t="shared" si="7"/>
        <v>#DIV/0!</v>
      </c>
      <c r="K21" s="484" t="str">
        <f t="shared" si="8"/>
        <v/>
      </c>
    </row>
    <row r="22" ht="15.75" customHeight="1">
      <c r="A22" s="484" t="s">
        <v>317</v>
      </c>
      <c r="B22" s="491">
        <f>SUM(B15:B21)</f>
        <v>72</v>
      </c>
      <c r="C22" s="489"/>
      <c r="D22" s="489"/>
    </row>
    <row r="23" ht="15.75" customHeight="1">
      <c r="A23" s="484" t="s">
        <v>318</v>
      </c>
      <c r="B23" s="192"/>
      <c r="C23" s="489"/>
      <c r="D23" s="489">
        <f>SUM(D14:D21)*12</f>
        <v>712170</v>
      </c>
    </row>
    <row r="24" ht="23.25" customHeight="1">
      <c r="B24" s="485" t="s">
        <v>321</v>
      </c>
      <c r="C24" s="5"/>
      <c r="D24" s="5"/>
    </row>
    <row r="25" ht="15.75" customHeight="1">
      <c r="A25" s="192" t="s">
        <v>307</v>
      </c>
      <c r="B25" s="484" t="s">
        <v>308</v>
      </c>
      <c r="C25" s="486" t="s">
        <v>309</v>
      </c>
      <c r="D25" s="486" t="s">
        <v>310</v>
      </c>
      <c r="E25" s="484" t="s">
        <v>311</v>
      </c>
      <c r="J25" s="493" t="s">
        <v>322</v>
      </c>
    </row>
    <row r="26" ht="15.75" customHeight="1">
      <c r="A26" s="192" t="str">
        <f t="shared" ref="A26:B26" si="16">A15</f>
        <v>One Bedroom</v>
      </c>
      <c r="B26" s="491">
        <f t="shared" si="16"/>
        <v>1</v>
      </c>
      <c r="C26" s="489">
        <f>C15+(C15*0.03)</f>
        <v>795.675</v>
      </c>
      <c r="D26" s="489">
        <f>B26*E26</f>
        <v>783.7</v>
      </c>
      <c r="E26" s="494">
        <v>783.7</v>
      </c>
      <c r="F26" s="496"/>
      <c r="J26" s="495">
        <f t="shared" ref="J26:J32" si="18">(E26-E15)/E15</f>
        <v>0.0222129469</v>
      </c>
      <c r="K26" s="484" t="str">
        <f t="shared" ref="K26:K32" si="19">A26</f>
        <v>One Bedroom</v>
      </c>
    </row>
    <row r="27" ht="15.75" customHeight="1">
      <c r="A27" s="192" t="str">
        <f t="shared" ref="A27:B27" si="17">A16</f>
        <v>One Bedroom</v>
      </c>
      <c r="B27" s="491">
        <f t="shared" si="17"/>
        <v>0</v>
      </c>
      <c r="C27" s="489">
        <v>0.0</v>
      </c>
      <c r="D27" s="489">
        <f>E27*B27</f>
        <v>0</v>
      </c>
      <c r="E27" s="494">
        <v>0.0</v>
      </c>
      <c r="F27" s="496"/>
      <c r="J27" s="495" t="str">
        <f t="shared" si="18"/>
        <v>#DIV/0!</v>
      </c>
      <c r="K27" s="484" t="str">
        <f t="shared" si="19"/>
        <v>One Bedroom</v>
      </c>
    </row>
    <row r="28" ht="15.75" customHeight="1">
      <c r="A28" s="192" t="str">
        <f t="shared" ref="A28:B28" si="20">A17</f>
        <v>Two Bedroom</v>
      </c>
      <c r="B28" s="491">
        <f t="shared" si="20"/>
        <v>24</v>
      </c>
      <c r="C28" s="489">
        <f t="shared" ref="C28:C29" si="22">C17+(C17*0.03)</f>
        <v>849.75</v>
      </c>
      <c r="D28" s="489">
        <f t="shared" ref="D28:D32" si="23">B28*C28</f>
        <v>20394</v>
      </c>
      <c r="E28" s="494">
        <v>938.89</v>
      </c>
      <c r="F28" s="496"/>
      <c r="J28" s="495">
        <f t="shared" si="18"/>
        <v>0.04321111111</v>
      </c>
      <c r="K28" s="484" t="str">
        <f t="shared" si="19"/>
        <v>Two Bedroom</v>
      </c>
    </row>
    <row r="29" ht="15.75" customHeight="1">
      <c r="A29" s="192" t="str">
        <f t="shared" ref="A29:B29" si="21">A18</f>
        <v>Two Bedroom</v>
      </c>
      <c r="B29" s="491">
        <f t="shared" si="21"/>
        <v>47</v>
      </c>
      <c r="C29" s="489">
        <f t="shared" si="22"/>
        <v>849.75</v>
      </c>
      <c r="D29" s="489">
        <f t="shared" si="23"/>
        <v>39938.25</v>
      </c>
      <c r="E29" s="494">
        <v>970.94</v>
      </c>
      <c r="F29" s="496"/>
      <c r="J29" s="495">
        <f t="shared" si="18"/>
        <v>0.04966486486</v>
      </c>
      <c r="K29" s="484" t="str">
        <f t="shared" si="19"/>
        <v>Two Bedroom</v>
      </c>
    </row>
    <row r="30" ht="15.75" customHeight="1">
      <c r="A30" s="192" t="str">
        <f t="shared" ref="A30:B30" si="24">A19</f>
        <v/>
      </c>
      <c r="B30" s="491" t="str">
        <f t="shared" si="24"/>
        <v/>
      </c>
      <c r="C30" s="489">
        <f t="shared" ref="C30:C32" si="26">I42</f>
        <v>0</v>
      </c>
      <c r="D30" s="489">
        <f t="shared" si="23"/>
        <v>0</v>
      </c>
      <c r="E30" s="494">
        <f t="shared" ref="E30:E32" si="27">I42</f>
        <v>0</v>
      </c>
      <c r="F30" s="496"/>
      <c r="J30" s="495" t="str">
        <f t="shared" si="18"/>
        <v>#DIV/0!</v>
      </c>
      <c r="K30" s="484" t="str">
        <f t="shared" si="19"/>
        <v/>
      </c>
    </row>
    <row r="31" ht="15.75" customHeight="1">
      <c r="A31" s="192" t="str">
        <f t="shared" ref="A31:B31" si="25">A20</f>
        <v/>
      </c>
      <c r="B31" s="491" t="str">
        <f t="shared" si="25"/>
        <v/>
      </c>
      <c r="C31" s="489">
        <f t="shared" si="26"/>
        <v>0</v>
      </c>
      <c r="D31" s="489">
        <f t="shared" si="23"/>
        <v>0</v>
      </c>
      <c r="E31" s="494">
        <f t="shared" si="27"/>
        <v>0</v>
      </c>
      <c r="F31" s="496"/>
      <c r="J31" s="495" t="str">
        <f t="shared" si="18"/>
        <v>#DIV/0!</v>
      </c>
      <c r="K31" s="484" t="str">
        <f t="shared" si="19"/>
        <v/>
      </c>
    </row>
    <row r="32" ht="15.75" customHeight="1">
      <c r="A32" s="192" t="str">
        <f t="shared" ref="A32:B32" si="28">A21</f>
        <v/>
      </c>
      <c r="B32" s="491" t="str">
        <f t="shared" si="28"/>
        <v/>
      </c>
      <c r="C32" s="489">
        <f t="shared" si="26"/>
        <v>0</v>
      </c>
      <c r="D32" s="489">
        <f t="shared" si="23"/>
        <v>0</v>
      </c>
      <c r="E32" s="494">
        <f t="shared" si="27"/>
        <v>0</v>
      </c>
      <c r="F32" s="496"/>
      <c r="J32" s="495" t="str">
        <f t="shared" si="18"/>
        <v>#DIV/0!</v>
      </c>
      <c r="K32" s="484" t="str">
        <f t="shared" si="19"/>
        <v/>
      </c>
    </row>
    <row r="33" ht="15.75" customHeight="1">
      <c r="A33" s="484" t="s">
        <v>317</v>
      </c>
      <c r="B33" s="491">
        <f>SUM(B26:B32)</f>
        <v>72</v>
      </c>
      <c r="C33" s="489"/>
      <c r="D33" s="489"/>
    </row>
    <row r="34" ht="15.75" customHeight="1">
      <c r="A34" s="484" t="s">
        <v>318</v>
      </c>
      <c r="C34" s="489"/>
      <c r="D34" s="489">
        <f>SUM(D25:D32)*12</f>
        <v>733391.4</v>
      </c>
    </row>
    <row r="35" ht="12.75" customHeight="1"/>
    <row r="36" ht="23.25" customHeight="1">
      <c r="B36" s="485" t="s">
        <v>323</v>
      </c>
      <c r="C36" s="5"/>
      <c r="D36" s="5"/>
      <c r="J36" s="497" t="s">
        <v>324</v>
      </c>
    </row>
    <row r="37" ht="56.25" customHeight="1">
      <c r="A37" s="498" t="s">
        <v>307</v>
      </c>
      <c r="B37" s="498" t="s">
        <v>308</v>
      </c>
      <c r="C37" s="498" t="s">
        <v>309</v>
      </c>
      <c r="D37" s="498" t="s">
        <v>310</v>
      </c>
      <c r="E37" s="498" t="s">
        <v>311</v>
      </c>
      <c r="F37" s="499" t="s">
        <v>325</v>
      </c>
      <c r="G37" s="499" t="s">
        <v>326</v>
      </c>
      <c r="H37" s="500" t="s">
        <v>327</v>
      </c>
      <c r="I37" s="500" t="s">
        <v>328</v>
      </c>
      <c r="J37" s="501" t="s">
        <v>329</v>
      </c>
    </row>
    <row r="38" ht="15.75" customHeight="1">
      <c r="A38" s="192" t="str">
        <f t="shared" ref="A38:B38" si="29">A26</f>
        <v>One Bedroom</v>
      </c>
      <c r="B38" s="491">
        <f t="shared" si="29"/>
        <v>1</v>
      </c>
      <c r="C38" s="489">
        <v>800.0</v>
      </c>
      <c r="D38" s="489">
        <f t="shared" ref="D38:D44" si="31">B38*C38</f>
        <v>800</v>
      </c>
      <c r="E38" s="490">
        <v>800.0</v>
      </c>
      <c r="F38" s="502">
        <f t="shared" ref="F38:F44" si="32">IF(E38&lt;&gt;"",(E38/C4)-1,"N/A")</f>
        <v>0.06666666667</v>
      </c>
      <c r="G38" s="502">
        <f t="shared" ref="G38:G44" si="33">IF(E38&lt;&gt;"",F38/3,0)</f>
        <v>0.02222222222</v>
      </c>
      <c r="H38" s="503">
        <f t="shared" ref="H38:H44" si="34">C4*(1+G38)</f>
        <v>766.6666667</v>
      </c>
      <c r="I38" s="503">
        <f t="shared" ref="I38:I44" si="35">H38*(G38+1)</f>
        <v>783.7037037</v>
      </c>
      <c r="J38" s="495">
        <f t="shared" ref="J38:J44" si="36">(E38-E26)/E26</f>
        <v>0.02079877504</v>
      </c>
      <c r="K38" s="484" t="str">
        <f t="shared" ref="K38:K44" si="37">A38</f>
        <v>One Bedroom</v>
      </c>
    </row>
    <row r="39" ht="15.75" customHeight="1">
      <c r="A39" s="192" t="str">
        <f t="shared" ref="A39:B39" si="30">A27</f>
        <v>One Bedroom</v>
      </c>
      <c r="B39" s="491">
        <f t="shared" si="30"/>
        <v>0</v>
      </c>
      <c r="C39" s="489">
        <f>IF(B39&lt;&gt;0,E39,0)</f>
        <v>0</v>
      </c>
      <c r="D39" s="489">
        <f t="shared" si="31"/>
        <v>0</v>
      </c>
      <c r="E39" s="490">
        <v>0.0</v>
      </c>
      <c r="F39" s="502" t="str">
        <f t="shared" si="32"/>
        <v>#DIV/0!</v>
      </c>
      <c r="G39" s="502" t="str">
        <f t="shared" si="33"/>
        <v>#DIV/0!</v>
      </c>
      <c r="H39" s="503" t="str">
        <f t="shared" si="34"/>
        <v>#DIV/0!</v>
      </c>
      <c r="I39" s="503" t="str">
        <f t="shared" si="35"/>
        <v>#DIV/0!</v>
      </c>
      <c r="J39" s="495" t="str">
        <f t="shared" si="36"/>
        <v>#DIV/0!</v>
      </c>
      <c r="K39" s="484" t="str">
        <f t="shared" si="37"/>
        <v>One Bedroom</v>
      </c>
    </row>
    <row r="40" ht="15.75" customHeight="1">
      <c r="A40" s="192" t="str">
        <f t="shared" ref="A40:B40" si="38">A28</f>
        <v>Two Bedroom</v>
      </c>
      <c r="B40" s="491">
        <f t="shared" si="38"/>
        <v>24</v>
      </c>
      <c r="C40" s="489">
        <f t="shared" ref="C40:C41" si="40">C28+(C28*0.03)</f>
        <v>875.2425</v>
      </c>
      <c r="D40" s="489">
        <f t="shared" si="31"/>
        <v>21005.82</v>
      </c>
      <c r="E40" s="490">
        <v>1000.0</v>
      </c>
      <c r="F40" s="502">
        <f t="shared" si="32"/>
        <v>0.25</v>
      </c>
      <c r="G40" s="502">
        <f t="shared" si="33"/>
        <v>0.08333333333</v>
      </c>
      <c r="H40" s="503">
        <f t="shared" si="34"/>
        <v>866.6666667</v>
      </c>
      <c r="I40" s="503">
        <f t="shared" si="35"/>
        <v>938.8888889</v>
      </c>
      <c r="J40" s="495">
        <f t="shared" si="36"/>
        <v>0.06508749694</v>
      </c>
      <c r="K40" s="484" t="str">
        <f t="shared" si="37"/>
        <v>Two Bedroom</v>
      </c>
    </row>
    <row r="41" ht="15.75" customHeight="1">
      <c r="A41" s="192" t="str">
        <f t="shared" ref="A41:B41" si="39">A29</f>
        <v>Two Bedroom</v>
      </c>
      <c r="B41" s="491">
        <f t="shared" si="39"/>
        <v>47</v>
      </c>
      <c r="C41" s="489">
        <f t="shared" si="40"/>
        <v>875.2425</v>
      </c>
      <c r="D41" s="489">
        <f t="shared" si="31"/>
        <v>41136.3975</v>
      </c>
      <c r="E41" s="490">
        <v>1044.0</v>
      </c>
      <c r="F41" s="502">
        <f t="shared" si="32"/>
        <v>0.305</v>
      </c>
      <c r="G41" s="502">
        <f t="shared" si="33"/>
        <v>0.1016666667</v>
      </c>
      <c r="H41" s="503">
        <f t="shared" si="34"/>
        <v>881.3333333</v>
      </c>
      <c r="I41" s="503">
        <f t="shared" si="35"/>
        <v>970.9355556</v>
      </c>
      <c r="J41" s="495">
        <f t="shared" si="36"/>
        <v>0.07524666818</v>
      </c>
      <c r="K41" s="484" t="str">
        <f t="shared" si="37"/>
        <v>Two Bedroom</v>
      </c>
    </row>
    <row r="42" ht="15.75" customHeight="1">
      <c r="A42" s="192" t="str">
        <f t="shared" ref="A42:B42" si="41">A30</f>
        <v/>
      </c>
      <c r="B42" s="491" t="str">
        <f t="shared" si="41"/>
        <v/>
      </c>
      <c r="C42" s="489">
        <f t="shared" ref="C42:C43" si="43">IF(B42&lt;&gt;0,E42,0)</f>
        <v>0</v>
      </c>
      <c r="D42" s="489">
        <f t="shared" si="31"/>
        <v>0</v>
      </c>
      <c r="E42" s="490"/>
      <c r="F42" s="502" t="str">
        <f t="shared" si="32"/>
        <v>N/A</v>
      </c>
      <c r="G42" s="502">
        <f t="shared" si="33"/>
        <v>0</v>
      </c>
      <c r="H42" s="503">
        <f t="shared" si="34"/>
        <v>0</v>
      </c>
      <c r="I42" s="503">
        <f t="shared" si="35"/>
        <v>0</v>
      </c>
      <c r="J42" s="495" t="str">
        <f t="shared" si="36"/>
        <v>#DIV/0!</v>
      </c>
      <c r="K42" s="484" t="str">
        <f t="shared" si="37"/>
        <v/>
      </c>
    </row>
    <row r="43" ht="15.75" customHeight="1">
      <c r="A43" s="192" t="str">
        <f t="shared" ref="A43:B43" si="42">A31</f>
        <v/>
      </c>
      <c r="B43" s="491" t="str">
        <f t="shared" si="42"/>
        <v/>
      </c>
      <c r="C43" s="489">
        <f t="shared" si="43"/>
        <v>0</v>
      </c>
      <c r="D43" s="489">
        <f t="shared" si="31"/>
        <v>0</v>
      </c>
      <c r="E43" s="490"/>
      <c r="F43" s="502" t="str">
        <f t="shared" si="32"/>
        <v>N/A</v>
      </c>
      <c r="G43" s="502">
        <f t="shared" si="33"/>
        <v>0</v>
      </c>
      <c r="H43" s="503">
        <f t="shared" si="34"/>
        <v>0</v>
      </c>
      <c r="I43" s="503">
        <f t="shared" si="35"/>
        <v>0</v>
      </c>
      <c r="J43" s="495" t="str">
        <f t="shared" si="36"/>
        <v>#DIV/0!</v>
      </c>
      <c r="K43" s="484" t="str">
        <f t="shared" si="37"/>
        <v/>
      </c>
    </row>
    <row r="44" ht="15.75" customHeight="1">
      <c r="A44" s="192" t="str">
        <f t="shared" ref="A44:B44" si="44">A32</f>
        <v/>
      </c>
      <c r="B44" s="491" t="str">
        <f t="shared" si="44"/>
        <v/>
      </c>
      <c r="C44" s="489">
        <f>IF(B44&lt;&gt;0,E44*B44,0)</f>
        <v>0</v>
      </c>
      <c r="D44" s="489">
        <f t="shared" si="31"/>
        <v>0</v>
      </c>
      <c r="E44" s="490"/>
      <c r="F44" s="502" t="str">
        <f t="shared" si="32"/>
        <v>N/A</v>
      </c>
      <c r="G44" s="502">
        <f t="shared" si="33"/>
        <v>0</v>
      </c>
      <c r="H44" s="503">
        <f t="shared" si="34"/>
        <v>0</v>
      </c>
      <c r="I44" s="503">
        <f t="shared" si="35"/>
        <v>0</v>
      </c>
      <c r="J44" s="495" t="str">
        <f t="shared" si="36"/>
        <v>#DIV/0!</v>
      </c>
      <c r="K44" s="484" t="str">
        <f t="shared" si="37"/>
        <v/>
      </c>
    </row>
    <row r="45" ht="15.75" customHeight="1">
      <c r="A45" s="484" t="s">
        <v>317</v>
      </c>
      <c r="B45" s="491">
        <f>SUM(B38:B44)</f>
        <v>72</v>
      </c>
      <c r="C45" s="489"/>
      <c r="D45" s="489"/>
    </row>
    <row r="46" ht="15.75" customHeight="1">
      <c r="A46" s="484" t="s">
        <v>318</v>
      </c>
      <c r="C46" s="489"/>
      <c r="D46" s="489">
        <f>SUM(D37:D44)*12</f>
        <v>755306.61</v>
      </c>
    </row>
    <row r="47" ht="12.75" customHeight="1"/>
    <row r="48" ht="15.75" customHeight="1">
      <c r="A48" s="504" t="s">
        <v>160</v>
      </c>
      <c r="B48" s="505"/>
      <c r="C48" s="505"/>
      <c r="D48" s="505"/>
    </row>
    <row r="49" ht="15.75" customHeight="1">
      <c r="A49" s="504" t="s">
        <v>303</v>
      </c>
      <c r="B49" s="505"/>
      <c r="C49" s="505"/>
      <c r="D49" s="505"/>
    </row>
    <row r="50" ht="15.75" customHeight="1">
      <c r="A50" s="506" t="s">
        <v>304</v>
      </c>
      <c r="B50" s="507"/>
      <c r="C50" s="492"/>
      <c r="D50" s="508"/>
    </row>
    <row r="51" ht="12.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2:D2"/>
    <mergeCell ref="B13:D13"/>
    <mergeCell ref="B24:D24"/>
    <mergeCell ref="B36:D36"/>
  </mergeCell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38"/>
    <col customWidth="1" min="2" max="2" width="20.25"/>
    <col customWidth="1" min="3" max="3" width="19.25"/>
    <col customWidth="1" min="4" max="5" width="11.38"/>
    <col customWidth="1" min="6" max="6" width="27.13"/>
    <col customWidth="1" min="7" max="7" width="21.38"/>
    <col customWidth="1" min="8" max="17" width="11.38"/>
    <col customWidth="1" min="18" max="26" width="14.38"/>
  </cols>
  <sheetData>
    <row r="1" ht="23.25" customHeight="1">
      <c r="A1" s="509" t="s">
        <v>330</v>
      </c>
      <c r="G1" s="510"/>
      <c r="H1" s="510"/>
      <c r="I1" s="510"/>
      <c r="J1" s="510"/>
      <c r="K1" s="510"/>
      <c r="L1" s="510"/>
      <c r="M1" s="510"/>
      <c r="N1" s="510"/>
      <c r="O1" s="510"/>
      <c r="P1" s="510"/>
      <c r="Q1" s="510"/>
    </row>
    <row r="2" ht="18.0" customHeight="1">
      <c r="A2" s="511" t="s">
        <v>331</v>
      </c>
      <c r="B2" s="486"/>
      <c r="C2" s="512"/>
    </row>
    <row r="3" ht="12.75" customHeight="1">
      <c r="B3" s="486"/>
      <c r="C3" s="512"/>
    </row>
    <row r="4" ht="18.0" customHeight="1">
      <c r="B4" s="513" t="s">
        <v>252</v>
      </c>
      <c r="C4" s="514">
        <f>'Pro Forma Data Entry'!D12</f>
        <v>4420000</v>
      </c>
    </row>
    <row r="5" ht="18.0" customHeight="1">
      <c r="B5" s="513"/>
      <c r="C5" s="515"/>
    </row>
    <row r="6" ht="18.0" customHeight="1">
      <c r="B6" s="513" t="s">
        <v>332</v>
      </c>
      <c r="C6" s="516">
        <f>'Pro Forma Data Entry'!D14</f>
        <v>0.0275</v>
      </c>
    </row>
    <row r="7" ht="18.0" customHeight="1">
      <c r="B7" s="513"/>
      <c r="C7" s="515"/>
    </row>
    <row r="8" ht="18.0" customHeight="1">
      <c r="B8" s="513" t="s">
        <v>333</v>
      </c>
      <c r="C8" s="517">
        <f>'Pro Forma Data Entry'!D15</f>
        <v>360</v>
      </c>
    </row>
    <row r="9" ht="18.0" customHeight="1">
      <c r="B9" s="513"/>
      <c r="C9" s="515"/>
    </row>
    <row r="10" ht="36.0" customHeight="1">
      <c r="B10" s="518" t="s">
        <v>61</v>
      </c>
      <c r="C10" s="519">
        <f>-PMT((C6/12),C8,C4)</f>
        <v>18044.2602</v>
      </c>
      <c r="F10" s="511" t="s">
        <v>62</v>
      </c>
      <c r="G10" s="520">
        <f>C10*12</f>
        <v>216531.1224</v>
      </c>
    </row>
    <row r="11" ht="12.75" customHeight="1">
      <c r="B11" s="486"/>
      <c r="C11" s="512"/>
    </row>
    <row r="12" ht="12.75" customHeight="1">
      <c r="B12" s="486"/>
      <c r="C12" s="512"/>
    </row>
    <row r="13" ht="12.75" customHeight="1">
      <c r="B13" s="486"/>
      <c r="C13" s="512"/>
    </row>
    <row r="14" ht="12.75" customHeight="1">
      <c r="B14" s="486"/>
      <c r="C14" s="512"/>
    </row>
    <row r="15" ht="12.75" customHeight="1">
      <c r="B15" s="486"/>
      <c r="C15" s="512"/>
    </row>
    <row r="16" ht="12.75" customHeight="1">
      <c r="B16" s="486"/>
      <c r="C16" s="512"/>
    </row>
    <row r="17" ht="12.75" customHeight="1">
      <c r="B17" s="486"/>
      <c r="C17" s="512"/>
    </row>
    <row r="18" ht="12.75" customHeight="1">
      <c r="B18" s="486"/>
      <c r="C18" s="512"/>
    </row>
    <row r="19" ht="12.75" customHeight="1">
      <c r="B19" s="486"/>
      <c r="C19" s="512"/>
    </row>
    <row r="20" ht="12.75" customHeight="1">
      <c r="B20" s="486"/>
      <c r="C20" s="512"/>
    </row>
    <row r="21" ht="12.75" customHeight="1">
      <c r="B21" s="486"/>
      <c r="C21" s="512"/>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F1"/>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2.0" topLeftCell="A3" activePane="bottomLeft" state="frozen"/>
      <selection activeCell="B4" sqref="B4" pane="bottomLeft"/>
    </sheetView>
  </sheetViews>
  <sheetFormatPr customHeight="1" defaultColWidth="12.63" defaultRowHeight="15.0"/>
  <cols>
    <col customWidth="1" min="1" max="5" width="19.75"/>
    <col customWidth="1" min="6" max="17" width="11.38"/>
    <col customWidth="1" min="18" max="26" width="14.38"/>
  </cols>
  <sheetData>
    <row r="1" ht="43.5" customHeight="1">
      <c r="A1" s="486"/>
      <c r="B1" s="486"/>
      <c r="C1" s="486"/>
      <c r="D1" s="486"/>
      <c r="E1" s="486"/>
    </row>
    <row r="2">
      <c r="A2" s="521" t="s">
        <v>334</v>
      </c>
      <c r="B2" s="521" t="s">
        <v>200</v>
      </c>
      <c r="C2" s="521" t="s">
        <v>335</v>
      </c>
      <c r="D2" s="521" t="s">
        <v>336</v>
      </c>
      <c r="E2" s="521" t="s">
        <v>203</v>
      </c>
      <c r="F2" s="27"/>
      <c r="G2" s="27"/>
      <c r="H2" s="27"/>
      <c r="I2" s="27"/>
      <c r="J2" s="27"/>
      <c r="K2" s="27"/>
      <c r="L2" s="27"/>
      <c r="M2" s="27"/>
      <c r="N2" s="27"/>
      <c r="O2" s="27"/>
      <c r="P2" s="27"/>
      <c r="Q2" s="27"/>
    </row>
    <row r="3" ht="12.75" customHeight="1">
      <c r="A3" s="486">
        <v>1.0</v>
      </c>
      <c r="B3" s="522">
        <f>Payment!C4</f>
        <v>4420000</v>
      </c>
      <c r="C3" s="522">
        <f>(Payment!$C$6/12)*B3</f>
        <v>10129.16667</v>
      </c>
      <c r="D3" s="522">
        <f>Payment!$C$10-C3</f>
        <v>7915.093533</v>
      </c>
      <c r="E3" s="522">
        <f t="shared" ref="E3:E362" si="1">B3-D3</f>
        <v>4412084.906</v>
      </c>
    </row>
    <row r="4" ht="12.75" customHeight="1">
      <c r="A4" s="486">
        <f t="shared" ref="A4:A362" si="2">A3+1</f>
        <v>2</v>
      </c>
      <c r="B4" s="522">
        <f t="shared" ref="B4:B362" si="3">E3</f>
        <v>4412084.906</v>
      </c>
      <c r="C4" s="522">
        <f>(Payment!$C$6/12)*B4</f>
        <v>10111.02791</v>
      </c>
      <c r="D4" s="522">
        <f>Payment!$C$10-C4</f>
        <v>7933.232289</v>
      </c>
      <c r="E4" s="522">
        <f t="shared" si="1"/>
        <v>4404151.674</v>
      </c>
    </row>
    <row r="5" ht="12.75" customHeight="1">
      <c r="A5" s="486">
        <f t="shared" si="2"/>
        <v>3</v>
      </c>
      <c r="B5" s="522">
        <f t="shared" si="3"/>
        <v>4404151.674</v>
      </c>
      <c r="C5" s="522">
        <f>(Payment!$C$6/12)*B5</f>
        <v>10092.84759</v>
      </c>
      <c r="D5" s="522">
        <f>Payment!$C$10-C5</f>
        <v>7951.412613</v>
      </c>
      <c r="E5" s="522">
        <f t="shared" si="1"/>
        <v>4396200.262</v>
      </c>
    </row>
    <row r="6" ht="12.75" customHeight="1">
      <c r="A6" s="486">
        <f t="shared" si="2"/>
        <v>4</v>
      </c>
      <c r="B6" s="522">
        <f t="shared" si="3"/>
        <v>4396200.262</v>
      </c>
      <c r="C6" s="522">
        <f>(Payment!$C$6/12)*B6</f>
        <v>10074.6256</v>
      </c>
      <c r="D6" s="522">
        <f>Payment!$C$10-C6</f>
        <v>7969.634601</v>
      </c>
      <c r="E6" s="522">
        <f t="shared" si="1"/>
        <v>4388230.627</v>
      </c>
    </row>
    <row r="7" ht="12.75" customHeight="1">
      <c r="A7" s="486">
        <f t="shared" si="2"/>
        <v>5</v>
      </c>
      <c r="B7" s="522">
        <f t="shared" si="3"/>
        <v>4388230.627</v>
      </c>
      <c r="C7" s="522">
        <f>(Payment!$C$6/12)*B7</f>
        <v>10056.36185</v>
      </c>
      <c r="D7" s="522">
        <f>Payment!$C$10-C7</f>
        <v>7987.898347</v>
      </c>
      <c r="E7" s="522">
        <f t="shared" si="1"/>
        <v>4380242.729</v>
      </c>
    </row>
    <row r="8" ht="12.75" customHeight="1">
      <c r="A8" s="486">
        <f t="shared" si="2"/>
        <v>6</v>
      </c>
      <c r="B8" s="522">
        <f t="shared" si="3"/>
        <v>4380242.729</v>
      </c>
      <c r="C8" s="522">
        <f>(Payment!$C$6/12)*B8</f>
        <v>10038.05625</v>
      </c>
      <c r="D8" s="522">
        <f>Payment!$C$10-C8</f>
        <v>8006.203947</v>
      </c>
      <c r="E8" s="522">
        <f t="shared" si="1"/>
        <v>4372236.525</v>
      </c>
    </row>
    <row r="9" ht="12.75" customHeight="1">
      <c r="A9" s="486">
        <f t="shared" si="2"/>
        <v>7</v>
      </c>
      <c r="B9" s="522">
        <f t="shared" si="3"/>
        <v>4372236.525</v>
      </c>
      <c r="C9" s="522">
        <f>(Payment!$C$6/12)*B9</f>
        <v>10019.7087</v>
      </c>
      <c r="D9" s="522">
        <f>Payment!$C$10-C9</f>
        <v>8024.551498</v>
      </c>
      <c r="E9" s="522">
        <f t="shared" si="1"/>
        <v>4364211.973</v>
      </c>
    </row>
    <row r="10" ht="12.75" customHeight="1">
      <c r="A10" s="486">
        <f t="shared" si="2"/>
        <v>8</v>
      </c>
      <c r="B10" s="522">
        <f t="shared" si="3"/>
        <v>4364211.973</v>
      </c>
      <c r="C10" s="522">
        <f>(Payment!$C$6/12)*B10</f>
        <v>10001.31911</v>
      </c>
      <c r="D10" s="522">
        <f>Payment!$C$10-C10</f>
        <v>8042.941095</v>
      </c>
      <c r="E10" s="522">
        <f t="shared" si="1"/>
        <v>4356169.032</v>
      </c>
    </row>
    <row r="11" ht="12.75" customHeight="1">
      <c r="A11" s="486">
        <f t="shared" si="2"/>
        <v>9</v>
      </c>
      <c r="B11" s="522">
        <f t="shared" si="3"/>
        <v>4356169.032</v>
      </c>
      <c r="C11" s="522">
        <f>(Payment!$C$6/12)*B11</f>
        <v>9982.887365</v>
      </c>
      <c r="D11" s="522">
        <f>Payment!$C$10-C11</f>
        <v>8061.372835</v>
      </c>
      <c r="E11" s="522">
        <f t="shared" si="1"/>
        <v>4348107.659</v>
      </c>
    </row>
    <row r="12" ht="12.75" customHeight="1">
      <c r="A12" s="486">
        <f t="shared" si="2"/>
        <v>10</v>
      </c>
      <c r="B12" s="522">
        <f t="shared" si="3"/>
        <v>4348107.659</v>
      </c>
      <c r="C12" s="522">
        <f>(Payment!$C$6/12)*B12</f>
        <v>9964.413386</v>
      </c>
      <c r="D12" s="522">
        <f>Payment!$C$10-C12</f>
        <v>8079.846814</v>
      </c>
      <c r="E12" s="522">
        <f t="shared" si="1"/>
        <v>4340027.812</v>
      </c>
    </row>
    <row r="13" ht="13.5" customHeight="1">
      <c r="A13" s="486">
        <f t="shared" si="2"/>
        <v>11</v>
      </c>
      <c r="B13" s="522">
        <f t="shared" si="3"/>
        <v>4340027.812</v>
      </c>
      <c r="C13" s="522">
        <f>(Payment!$C$6/12)*B13</f>
        <v>9945.89707</v>
      </c>
      <c r="D13" s="522">
        <f>Payment!$C$10-C13</f>
        <v>8098.36313</v>
      </c>
      <c r="E13" s="522">
        <f t="shared" si="1"/>
        <v>4331929.449</v>
      </c>
    </row>
    <row r="14" ht="16.5" customHeight="1">
      <c r="A14" s="486">
        <f t="shared" si="2"/>
        <v>12</v>
      </c>
      <c r="B14" s="522">
        <f t="shared" si="3"/>
        <v>4331929.449</v>
      </c>
      <c r="C14" s="522">
        <f>(Payment!$C$6/12)*B14</f>
        <v>9927.338321</v>
      </c>
      <c r="D14" s="522">
        <f>Payment!$C$10-C14</f>
        <v>8116.921879</v>
      </c>
      <c r="E14" s="523">
        <f t="shared" si="1"/>
        <v>4323812.527</v>
      </c>
      <c r="F14" s="524">
        <f>SUM(D3:D14)</f>
        <v>96187.47258</v>
      </c>
      <c r="G14" s="525" t="s">
        <v>337</v>
      </c>
      <c r="H14" s="5"/>
      <c r="I14" s="5"/>
    </row>
    <row r="15" ht="12.75" customHeight="1">
      <c r="A15" s="486">
        <f t="shared" si="2"/>
        <v>13</v>
      </c>
      <c r="B15" s="522">
        <f t="shared" si="3"/>
        <v>4323812.527</v>
      </c>
      <c r="C15" s="522">
        <f>(Payment!$C$6/12)*B15</f>
        <v>9908.737042</v>
      </c>
      <c r="D15" s="522">
        <f>Payment!$C$10-C15</f>
        <v>8135.523158</v>
      </c>
      <c r="E15" s="522">
        <f t="shared" si="1"/>
        <v>4315677.004</v>
      </c>
    </row>
    <row r="16" ht="12.75" customHeight="1">
      <c r="A16" s="486">
        <f t="shared" si="2"/>
        <v>14</v>
      </c>
      <c r="B16" s="522">
        <f t="shared" si="3"/>
        <v>4315677.004</v>
      </c>
      <c r="C16" s="522">
        <f>(Payment!$C$6/12)*B16</f>
        <v>9890.093135</v>
      </c>
      <c r="D16" s="522">
        <f>Payment!$C$10-C16</f>
        <v>8154.167065</v>
      </c>
      <c r="E16" s="522">
        <f t="shared" si="1"/>
        <v>4307522.837</v>
      </c>
    </row>
    <row r="17" ht="12.75" customHeight="1">
      <c r="A17" s="486">
        <f t="shared" si="2"/>
        <v>15</v>
      </c>
      <c r="B17" s="522">
        <f t="shared" si="3"/>
        <v>4307522.837</v>
      </c>
      <c r="C17" s="522">
        <f>(Payment!$C$6/12)*B17</f>
        <v>9871.406502</v>
      </c>
      <c r="D17" s="522">
        <f>Payment!$C$10-C17</f>
        <v>8172.853698</v>
      </c>
      <c r="E17" s="522">
        <f t="shared" si="1"/>
        <v>4299349.983</v>
      </c>
    </row>
    <row r="18" ht="12.75" customHeight="1">
      <c r="A18" s="486">
        <f t="shared" si="2"/>
        <v>16</v>
      </c>
      <c r="B18" s="522">
        <f t="shared" si="3"/>
        <v>4299349.983</v>
      </c>
      <c r="C18" s="522">
        <f>(Payment!$C$6/12)*B18</f>
        <v>9852.677046</v>
      </c>
      <c r="D18" s="522">
        <f>Payment!$C$10-C18</f>
        <v>8191.583155</v>
      </c>
      <c r="E18" s="522">
        <f t="shared" si="1"/>
        <v>4291158.4</v>
      </c>
    </row>
    <row r="19" ht="12.75" customHeight="1">
      <c r="A19" s="486">
        <f t="shared" si="2"/>
        <v>17</v>
      </c>
      <c r="B19" s="522">
        <f t="shared" si="3"/>
        <v>4291158.4</v>
      </c>
      <c r="C19" s="522">
        <f>(Payment!$C$6/12)*B19</f>
        <v>9833.904667</v>
      </c>
      <c r="D19" s="522">
        <f>Payment!$C$10-C19</f>
        <v>8210.355533</v>
      </c>
      <c r="E19" s="522">
        <f t="shared" si="1"/>
        <v>4282948.045</v>
      </c>
    </row>
    <row r="20" ht="12.75" customHeight="1">
      <c r="A20" s="486">
        <f t="shared" si="2"/>
        <v>18</v>
      </c>
      <c r="B20" s="522">
        <f t="shared" si="3"/>
        <v>4282948.045</v>
      </c>
      <c r="C20" s="522">
        <f>(Payment!$C$6/12)*B20</f>
        <v>9815.089269</v>
      </c>
      <c r="D20" s="522">
        <f>Payment!$C$10-C20</f>
        <v>8229.170931</v>
      </c>
      <c r="E20" s="522">
        <f t="shared" si="1"/>
        <v>4274718.874</v>
      </c>
    </row>
    <row r="21" ht="12.75" customHeight="1">
      <c r="A21" s="486">
        <f t="shared" si="2"/>
        <v>19</v>
      </c>
      <c r="B21" s="522">
        <f t="shared" si="3"/>
        <v>4274718.874</v>
      </c>
      <c r="C21" s="522">
        <f>(Payment!$C$6/12)*B21</f>
        <v>9796.230753</v>
      </c>
      <c r="D21" s="522">
        <f>Payment!$C$10-C21</f>
        <v>8248.029448</v>
      </c>
      <c r="E21" s="522">
        <f t="shared" si="1"/>
        <v>4266470.844</v>
      </c>
    </row>
    <row r="22" ht="12.75" customHeight="1">
      <c r="A22" s="486">
        <f t="shared" si="2"/>
        <v>20</v>
      </c>
      <c r="B22" s="522">
        <f t="shared" si="3"/>
        <v>4266470.844</v>
      </c>
      <c r="C22" s="522">
        <f>(Payment!$C$6/12)*B22</f>
        <v>9777.329018</v>
      </c>
      <c r="D22" s="522">
        <f>Payment!$C$10-C22</f>
        <v>8266.931182</v>
      </c>
      <c r="E22" s="522">
        <f t="shared" si="1"/>
        <v>4258203.913</v>
      </c>
    </row>
    <row r="23" ht="12.75" customHeight="1">
      <c r="A23" s="486">
        <f t="shared" si="2"/>
        <v>21</v>
      </c>
      <c r="B23" s="522">
        <f t="shared" si="3"/>
        <v>4258203.913</v>
      </c>
      <c r="C23" s="522">
        <f>(Payment!$C$6/12)*B23</f>
        <v>9758.383968</v>
      </c>
      <c r="D23" s="522">
        <f>Payment!$C$10-C23</f>
        <v>8285.876232</v>
      </c>
      <c r="E23" s="522">
        <f t="shared" si="1"/>
        <v>4249918.037</v>
      </c>
    </row>
    <row r="24" ht="12.75" customHeight="1">
      <c r="A24" s="486">
        <f t="shared" si="2"/>
        <v>22</v>
      </c>
      <c r="B24" s="522">
        <f t="shared" si="3"/>
        <v>4249918.037</v>
      </c>
      <c r="C24" s="522">
        <f>(Payment!$C$6/12)*B24</f>
        <v>9739.395501</v>
      </c>
      <c r="D24" s="522">
        <f>Payment!$C$10-C24</f>
        <v>8304.864699</v>
      </c>
      <c r="E24" s="522">
        <f t="shared" si="1"/>
        <v>4241613.172</v>
      </c>
    </row>
    <row r="25" ht="12.75" customHeight="1">
      <c r="A25" s="486">
        <f t="shared" si="2"/>
        <v>23</v>
      </c>
      <c r="B25" s="522">
        <f t="shared" si="3"/>
        <v>4241613.172</v>
      </c>
      <c r="C25" s="522">
        <f>(Payment!$C$6/12)*B25</f>
        <v>9720.36352</v>
      </c>
      <c r="D25" s="522">
        <f>Payment!$C$10-C25</f>
        <v>8323.89668</v>
      </c>
      <c r="E25" s="522">
        <f t="shared" si="1"/>
        <v>4233289.276</v>
      </c>
    </row>
    <row r="26" ht="15.75" customHeight="1">
      <c r="A26" s="486">
        <f t="shared" si="2"/>
        <v>24</v>
      </c>
      <c r="B26" s="522">
        <f t="shared" si="3"/>
        <v>4233289.276</v>
      </c>
      <c r="C26" s="522">
        <f>(Payment!$C$6/12)*B26</f>
        <v>9701.287923</v>
      </c>
      <c r="D26" s="522">
        <f>Payment!$C$10-C26</f>
        <v>8342.972277</v>
      </c>
      <c r="E26" s="522">
        <f t="shared" si="1"/>
        <v>4224946.303</v>
      </c>
      <c r="F26" s="526">
        <f>SUM(D15:D26)</f>
        <v>98866.22406</v>
      </c>
      <c r="G26" s="525" t="s">
        <v>338</v>
      </c>
      <c r="H26" s="5"/>
      <c r="I26" s="5"/>
    </row>
    <row r="27" ht="12.75" customHeight="1">
      <c r="A27" s="486">
        <f t="shared" si="2"/>
        <v>25</v>
      </c>
      <c r="B27" s="522">
        <f t="shared" si="3"/>
        <v>4224946.303</v>
      </c>
      <c r="C27" s="522">
        <f>(Payment!$C$6/12)*B27</f>
        <v>9682.168612</v>
      </c>
      <c r="D27" s="522">
        <f>Payment!$C$10-C27</f>
        <v>8362.091588</v>
      </c>
      <c r="E27" s="522">
        <f t="shared" si="1"/>
        <v>4216584.212</v>
      </c>
    </row>
    <row r="28" ht="12.75" customHeight="1">
      <c r="A28" s="486">
        <f t="shared" si="2"/>
        <v>26</v>
      </c>
      <c r="B28" s="522">
        <f t="shared" si="3"/>
        <v>4216584.212</v>
      </c>
      <c r="C28" s="522">
        <f>(Payment!$C$6/12)*B28</f>
        <v>9663.005485</v>
      </c>
      <c r="D28" s="522">
        <f>Payment!$C$10-C28</f>
        <v>8381.254715</v>
      </c>
      <c r="E28" s="522">
        <f t="shared" si="1"/>
        <v>4208202.957</v>
      </c>
    </row>
    <row r="29" ht="12.75" customHeight="1">
      <c r="A29" s="486">
        <f t="shared" si="2"/>
        <v>27</v>
      </c>
      <c r="B29" s="522">
        <f t="shared" si="3"/>
        <v>4208202.957</v>
      </c>
      <c r="C29" s="522">
        <f>(Payment!$C$6/12)*B29</f>
        <v>9643.798443</v>
      </c>
      <c r="D29" s="522">
        <f>Payment!$C$10-C29</f>
        <v>8400.461757</v>
      </c>
      <c r="E29" s="522">
        <f t="shared" si="1"/>
        <v>4199802.495</v>
      </c>
    </row>
    <row r="30" ht="12.75" customHeight="1">
      <c r="A30" s="486">
        <f t="shared" si="2"/>
        <v>28</v>
      </c>
      <c r="B30" s="522">
        <f t="shared" si="3"/>
        <v>4199802.495</v>
      </c>
      <c r="C30" s="522">
        <f>(Payment!$C$6/12)*B30</f>
        <v>9624.547385</v>
      </c>
      <c r="D30" s="522">
        <f>Payment!$C$10-C30</f>
        <v>8419.712815</v>
      </c>
      <c r="E30" s="522">
        <f t="shared" si="1"/>
        <v>4191382.782</v>
      </c>
    </row>
    <row r="31" ht="12.75" customHeight="1">
      <c r="A31" s="486">
        <f t="shared" si="2"/>
        <v>29</v>
      </c>
      <c r="B31" s="522">
        <f t="shared" si="3"/>
        <v>4191382.782</v>
      </c>
      <c r="C31" s="522">
        <f>(Payment!$C$6/12)*B31</f>
        <v>9605.25221</v>
      </c>
      <c r="D31" s="522">
        <f>Payment!$C$10-C31</f>
        <v>8439.00799</v>
      </c>
      <c r="E31" s="522">
        <f t="shared" si="1"/>
        <v>4182943.774</v>
      </c>
    </row>
    <row r="32" ht="12.75" customHeight="1">
      <c r="A32" s="486">
        <f t="shared" si="2"/>
        <v>30</v>
      </c>
      <c r="B32" s="522">
        <f t="shared" si="3"/>
        <v>4182943.774</v>
      </c>
      <c r="C32" s="522">
        <f>(Payment!$C$6/12)*B32</f>
        <v>9585.912817</v>
      </c>
      <c r="D32" s="522">
        <f>Payment!$C$10-C32</f>
        <v>8458.347384</v>
      </c>
      <c r="E32" s="522">
        <f t="shared" si="1"/>
        <v>4174485.427</v>
      </c>
    </row>
    <row r="33" ht="12.75" customHeight="1">
      <c r="A33" s="486">
        <f t="shared" si="2"/>
        <v>31</v>
      </c>
      <c r="B33" s="522">
        <f t="shared" si="3"/>
        <v>4174485.427</v>
      </c>
      <c r="C33" s="522">
        <f>(Payment!$C$6/12)*B33</f>
        <v>9566.529104</v>
      </c>
      <c r="D33" s="522">
        <f>Payment!$C$10-C33</f>
        <v>8477.731096</v>
      </c>
      <c r="E33" s="522">
        <f t="shared" si="1"/>
        <v>4166007.696</v>
      </c>
    </row>
    <row r="34" ht="12.75" customHeight="1">
      <c r="A34" s="486">
        <f t="shared" si="2"/>
        <v>32</v>
      </c>
      <c r="B34" s="522">
        <f t="shared" si="3"/>
        <v>4166007.696</v>
      </c>
      <c r="C34" s="522">
        <f>(Payment!$C$6/12)*B34</f>
        <v>9547.10097</v>
      </c>
      <c r="D34" s="522">
        <f>Payment!$C$10-C34</f>
        <v>8497.15923</v>
      </c>
      <c r="E34" s="522">
        <f t="shared" si="1"/>
        <v>4157510.537</v>
      </c>
    </row>
    <row r="35" ht="12.75" customHeight="1">
      <c r="A35" s="486">
        <f t="shared" si="2"/>
        <v>33</v>
      </c>
      <c r="B35" s="522">
        <f t="shared" si="3"/>
        <v>4157510.537</v>
      </c>
      <c r="C35" s="522">
        <f>(Payment!$C$6/12)*B35</f>
        <v>9527.628313</v>
      </c>
      <c r="D35" s="522">
        <f>Payment!$C$10-C35</f>
        <v>8516.631887</v>
      </c>
      <c r="E35" s="522">
        <f t="shared" si="1"/>
        <v>4148993.905</v>
      </c>
    </row>
    <row r="36" ht="12.75" customHeight="1">
      <c r="A36" s="486">
        <f t="shared" si="2"/>
        <v>34</v>
      </c>
      <c r="B36" s="522">
        <f t="shared" si="3"/>
        <v>4148993.905</v>
      </c>
      <c r="C36" s="522">
        <f>(Payment!$C$6/12)*B36</f>
        <v>9508.111032</v>
      </c>
      <c r="D36" s="522">
        <f>Payment!$C$10-C36</f>
        <v>8536.149168</v>
      </c>
      <c r="E36" s="522">
        <f t="shared" si="1"/>
        <v>4140457.756</v>
      </c>
    </row>
    <row r="37" ht="12.75" customHeight="1">
      <c r="A37" s="486">
        <f t="shared" si="2"/>
        <v>35</v>
      </c>
      <c r="B37" s="522">
        <f t="shared" si="3"/>
        <v>4140457.756</v>
      </c>
      <c r="C37" s="522">
        <f>(Payment!$C$6/12)*B37</f>
        <v>9488.549024</v>
      </c>
      <c r="D37" s="522">
        <f>Payment!$C$10-C37</f>
        <v>8555.711177</v>
      </c>
      <c r="E37" s="522">
        <f t="shared" si="1"/>
        <v>4131902.045</v>
      </c>
    </row>
    <row r="38" ht="15.75" customHeight="1">
      <c r="A38" s="486">
        <f t="shared" si="2"/>
        <v>36</v>
      </c>
      <c r="B38" s="522">
        <f t="shared" si="3"/>
        <v>4131902.045</v>
      </c>
      <c r="C38" s="522">
        <f>(Payment!$C$6/12)*B38</f>
        <v>9468.942185</v>
      </c>
      <c r="D38" s="522">
        <f>Payment!$C$10-C38</f>
        <v>8575.318015</v>
      </c>
      <c r="E38" s="522">
        <f t="shared" si="1"/>
        <v>4123326.727</v>
      </c>
      <c r="F38" s="526">
        <f>SUM(D27:D38)</f>
        <v>101619.5768</v>
      </c>
      <c r="G38" s="525" t="s">
        <v>339</v>
      </c>
      <c r="H38" s="5"/>
      <c r="I38" s="5"/>
    </row>
    <row r="39" ht="12.75" customHeight="1">
      <c r="A39" s="486">
        <f t="shared" si="2"/>
        <v>37</v>
      </c>
      <c r="B39" s="522">
        <f t="shared" si="3"/>
        <v>4123326.727</v>
      </c>
      <c r="C39" s="522">
        <f>(Payment!$C$6/12)*B39</f>
        <v>9449.290415</v>
      </c>
      <c r="D39" s="522">
        <f>Payment!$C$10-C39</f>
        <v>8594.969785</v>
      </c>
      <c r="E39" s="522">
        <f t="shared" si="1"/>
        <v>4114731.757</v>
      </c>
    </row>
    <row r="40" ht="12.75" customHeight="1">
      <c r="A40" s="486">
        <f t="shared" si="2"/>
        <v>38</v>
      </c>
      <c r="B40" s="522">
        <f t="shared" si="3"/>
        <v>4114731.757</v>
      </c>
      <c r="C40" s="522">
        <f>(Payment!$C$6/12)*B40</f>
        <v>9429.593609</v>
      </c>
      <c r="D40" s="522">
        <f>Payment!$C$10-C40</f>
        <v>8614.666591</v>
      </c>
      <c r="E40" s="522">
        <f t="shared" si="1"/>
        <v>4106117.09</v>
      </c>
    </row>
    <row r="41" ht="12.75" customHeight="1">
      <c r="A41" s="486">
        <f t="shared" si="2"/>
        <v>39</v>
      </c>
      <c r="B41" s="522">
        <f t="shared" si="3"/>
        <v>4106117.09</v>
      </c>
      <c r="C41" s="522">
        <f>(Payment!$C$6/12)*B41</f>
        <v>9409.851665</v>
      </c>
      <c r="D41" s="522">
        <f>Payment!$C$10-C41</f>
        <v>8634.408535</v>
      </c>
      <c r="E41" s="522">
        <f t="shared" si="1"/>
        <v>4097482.682</v>
      </c>
    </row>
    <row r="42" ht="12.75" customHeight="1">
      <c r="A42" s="486">
        <f t="shared" si="2"/>
        <v>40</v>
      </c>
      <c r="B42" s="522">
        <f t="shared" si="3"/>
        <v>4097482.682</v>
      </c>
      <c r="C42" s="522">
        <f>(Payment!$C$6/12)*B42</f>
        <v>9390.064479</v>
      </c>
      <c r="D42" s="522">
        <f>Payment!$C$10-C42</f>
        <v>8654.195721</v>
      </c>
      <c r="E42" s="522">
        <f t="shared" si="1"/>
        <v>4088828.486</v>
      </c>
    </row>
    <row r="43" ht="12.75" customHeight="1">
      <c r="A43" s="486">
        <f t="shared" si="2"/>
        <v>41</v>
      </c>
      <c r="B43" s="522">
        <f t="shared" si="3"/>
        <v>4088828.486</v>
      </c>
      <c r="C43" s="522">
        <f>(Payment!$C$6/12)*B43</f>
        <v>9370.231947</v>
      </c>
      <c r="D43" s="522">
        <f>Payment!$C$10-C43</f>
        <v>8674.028253</v>
      </c>
      <c r="E43" s="522">
        <f t="shared" si="1"/>
        <v>4080154.458</v>
      </c>
    </row>
    <row r="44" ht="12.75" customHeight="1">
      <c r="A44" s="486">
        <f t="shared" si="2"/>
        <v>42</v>
      </c>
      <c r="B44" s="522">
        <f t="shared" si="3"/>
        <v>4080154.458</v>
      </c>
      <c r="C44" s="522">
        <f>(Payment!$C$6/12)*B44</f>
        <v>9350.353965</v>
      </c>
      <c r="D44" s="522">
        <f>Payment!$C$10-C44</f>
        <v>8693.906235</v>
      </c>
      <c r="E44" s="522">
        <f t="shared" si="1"/>
        <v>4071460.551</v>
      </c>
    </row>
    <row r="45" ht="12.75" customHeight="1">
      <c r="A45" s="486">
        <f t="shared" si="2"/>
        <v>43</v>
      </c>
      <c r="B45" s="522">
        <f t="shared" si="3"/>
        <v>4071460.551</v>
      </c>
      <c r="C45" s="522">
        <f>(Payment!$C$6/12)*B45</f>
        <v>9330.43043</v>
      </c>
      <c r="D45" s="522">
        <f>Payment!$C$10-C45</f>
        <v>8713.82977</v>
      </c>
      <c r="E45" s="522">
        <f t="shared" si="1"/>
        <v>4062746.722</v>
      </c>
    </row>
    <row r="46" ht="12.75" customHeight="1">
      <c r="A46" s="486">
        <f t="shared" si="2"/>
        <v>44</v>
      </c>
      <c r="B46" s="522">
        <f t="shared" si="3"/>
        <v>4062746.722</v>
      </c>
      <c r="C46" s="522">
        <f>(Payment!$C$6/12)*B46</f>
        <v>9310.461237</v>
      </c>
      <c r="D46" s="522">
        <f>Payment!$C$10-C46</f>
        <v>8733.798963</v>
      </c>
      <c r="E46" s="522">
        <f t="shared" si="1"/>
        <v>4054012.923</v>
      </c>
    </row>
    <row r="47" ht="12.75" customHeight="1">
      <c r="A47" s="486">
        <f t="shared" si="2"/>
        <v>45</v>
      </c>
      <c r="B47" s="522">
        <f t="shared" si="3"/>
        <v>4054012.923</v>
      </c>
      <c r="C47" s="522">
        <f>(Payment!$C$6/12)*B47</f>
        <v>9290.446281</v>
      </c>
      <c r="D47" s="522">
        <f>Payment!$C$10-C47</f>
        <v>8753.813919</v>
      </c>
      <c r="E47" s="522">
        <f t="shared" si="1"/>
        <v>4045259.109</v>
      </c>
    </row>
    <row r="48" ht="12.75" customHeight="1">
      <c r="A48" s="486">
        <f t="shared" si="2"/>
        <v>46</v>
      </c>
      <c r="B48" s="522">
        <f t="shared" si="3"/>
        <v>4045259.109</v>
      </c>
      <c r="C48" s="522">
        <f>(Payment!$C$6/12)*B48</f>
        <v>9270.385458</v>
      </c>
      <c r="D48" s="522">
        <f>Payment!$C$10-C48</f>
        <v>8773.874743</v>
      </c>
      <c r="E48" s="522">
        <f t="shared" si="1"/>
        <v>4036485.234</v>
      </c>
    </row>
    <row r="49" ht="12.75" customHeight="1">
      <c r="A49" s="486">
        <f t="shared" si="2"/>
        <v>47</v>
      </c>
      <c r="B49" s="522">
        <f t="shared" si="3"/>
        <v>4036485.234</v>
      </c>
      <c r="C49" s="522">
        <f>(Payment!$C$6/12)*B49</f>
        <v>9250.278661</v>
      </c>
      <c r="D49" s="522">
        <f>Payment!$C$10-C49</f>
        <v>8793.981539</v>
      </c>
      <c r="E49" s="522">
        <f t="shared" si="1"/>
        <v>4027691.252</v>
      </c>
    </row>
    <row r="50" ht="15.75" customHeight="1">
      <c r="A50" s="486">
        <f t="shared" si="2"/>
        <v>48</v>
      </c>
      <c r="B50" s="522">
        <f t="shared" si="3"/>
        <v>4027691.252</v>
      </c>
      <c r="C50" s="522">
        <f>(Payment!$C$6/12)*B50</f>
        <v>9230.125787</v>
      </c>
      <c r="D50" s="522">
        <f>Payment!$C$10-C50</f>
        <v>8814.134413</v>
      </c>
      <c r="E50" s="522">
        <f t="shared" si="1"/>
        <v>4018877.118</v>
      </c>
      <c r="F50" s="526">
        <f>SUM(D39:D50)</f>
        <v>104449.6085</v>
      </c>
      <c r="G50" s="525" t="s">
        <v>340</v>
      </c>
      <c r="H50" s="5"/>
      <c r="I50" s="5"/>
    </row>
    <row r="51" ht="12.75" customHeight="1">
      <c r="A51" s="486">
        <f t="shared" si="2"/>
        <v>49</v>
      </c>
      <c r="B51" s="522">
        <f t="shared" si="3"/>
        <v>4018877.118</v>
      </c>
      <c r="C51" s="522">
        <f>(Payment!$C$6/12)*B51</f>
        <v>9209.926729</v>
      </c>
      <c r="D51" s="522">
        <f>Payment!$C$10-C51</f>
        <v>8834.333471</v>
      </c>
      <c r="E51" s="522">
        <f t="shared" si="1"/>
        <v>4010042.785</v>
      </c>
    </row>
    <row r="52" ht="12.75" customHeight="1">
      <c r="A52" s="486">
        <f t="shared" si="2"/>
        <v>50</v>
      </c>
      <c r="B52" s="522">
        <f t="shared" si="3"/>
        <v>4010042.785</v>
      </c>
      <c r="C52" s="522">
        <f>(Payment!$C$6/12)*B52</f>
        <v>9189.681381</v>
      </c>
      <c r="D52" s="522">
        <f>Payment!$C$10-C52</f>
        <v>8854.578819</v>
      </c>
      <c r="E52" s="522">
        <f t="shared" si="1"/>
        <v>4001188.206</v>
      </c>
    </row>
    <row r="53" ht="12.75" customHeight="1">
      <c r="A53" s="486">
        <f t="shared" si="2"/>
        <v>51</v>
      </c>
      <c r="B53" s="522">
        <f t="shared" si="3"/>
        <v>4001188.206</v>
      </c>
      <c r="C53" s="522">
        <f>(Payment!$C$6/12)*B53</f>
        <v>9169.389638</v>
      </c>
      <c r="D53" s="522">
        <f>Payment!$C$10-C53</f>
        <v>8874.870562</v>
      </c>
      <c r="E53" s="522">
        <f t="shared" si="1"/>
        <v>3992313.335</v>
      </c>
    </row>
    <row r="54" ht="12.75" customHeight="1">
      <c r="A54" s="486">
        <f t="shared" si="2"/>
        <v>52</v>
      </c>
      <c r="B54" s="522">
        <f t="shared" si="3"/>
        <v>3992313.335</v>
      </c>
      <c r="C54" s="522">
        <f>(Payment!$C$6/12)*B54</f>
        <v>9149.051393</v>
      </c>
      <c r="D54" s="522">
        <f>Payment!$C$10-C54</f>
        <v>8895.208807</v>
      </c>
      <c r="E54" s="522">
        <f t="shared" si="1"/>
        <v>3983418.126</v>
      </c>
    </row>
    <row r="55" ht="12.75" customHeight="1">
      <c r="A55" s="486">
        <f t="shared" si="2"/>
        <v>53</v>
      </c>
      <c r="B55" s="522">
        <f t="shared" si="3"/>
        <v>3983418.126</v>
      </c>
      <c r="C55" s="522">
        <f>(Payment!$C$6/12)*B55</f>
        <v>9128.66654</v>
      </c>
      <c r="D55" s="522">
        <f>Payment!$C$10-C55</f>
        <v>8915.59366</v>
      </c>
      <c r="E55" s="522">
        <f t="shared" si="1"/>
        <v>3974502.533</v>
      </c>
    </row>
    <row r="56" ht="12.75" customHeight="1">
      <c r="A56" s="486">
        <f t="shared" si="2"/>
        <v>54</v>
      </c>
      <c r="B56" s="522">
        <f t="shared" si="3"/>
        <v>3974502.533</v>
      </c>
      <c r="C56" s="522">
        <f>(Payment!$C$6/12)*B56</f>
        <v>9108.234971</v>
      </c>
      <c r="D56" s="522">
        <f>Payment!$C$10-C56</f>
        <v>8936.025229</v>
      </c>
      <c r="E56" s="522">
        <f t="shared" si="1"/>
        <v>3965566.508</v>
      </c>
    </row>
    <row r="57" ht="12.75" customHeight="1">
      <c r="A57" s="486">
        <f t="shared" si="2"/>
        <v>55</v>
      </c>
      <c r="B57" s="522">
        <f t="shared" si="3"/>
        <v>3965566.508</v>
      </c>
      <c r="C57" s="522">
        <f>(Payment!$C$6/12)*B57</f>
        <v>9087.75658</v>
      </c>
      <c r="D57" s="522">
        <f>Payment!$C$10-C57</f>
        <v>8956.50362</v>
      </c>
      <c r="E57" s="522">
        <f t="shared" si="1"/>
        <v>3956610.004</v>
      </c>
    </row>
    <row r="58" ht="12.75" customHeight="1">
      <c r="A58" s="486">
        <f t="shared" si="2"/>
        <v>56</v>
      </c>
      <c r="B58" s="522">
        <f t="shared" si="3"/>
        <v>3956610.004</v>
      </c>
      <c r="C58" s="522">
        <f>(Payment!$C$6/12)*B58</f>
        <v>9067.231259</v>
      </c>
      <c r="D58" s="522">
        <f>Payment!$C$10-C58</f>
        <v>8977.028941</v>
      </c>
      <c r="E58" s="522">
        <f t="shared" si="1"/>
        <v>3947632.975</v>
      </c>
    </row>
    <row r="59" ht="12.75" customHeight="1">
      <c r="A59" s="486">
        <f t="shared" si="2"/>
        <v>57</v>
      </c>
      <c r="B59" s="522">
        <f t="shared" si="3"/>
        <v>3947632.975</v>
      </c>
      <c r="C59" s="522">
        <f>(Payment!$C$6/12)*B59</f>
        <v>9046.658901</v>
      </c>
      <c r="D59" s="522">
        <f>Payment!$C$10-C59</f>
        <v>8997.601299</v>
      </c>
      <c r="E59" s="522">
        <f t="shared" si="1"/>
        <v>3938635.374</v>
      </c>
    </row>
    <row r="60" ht="12.75" customHeight="1">
      <c r="A60" s="486">
        <f t="shared" si="2"/>
        <v>58</v>
      </c>
      <c r="B60" s="522">
        <f t="shared" si="3"/>
        <v>3938635.374</v>
      </c>
      <c r="C60" s="522">
        <f>(Payment!$C$6/12)*B60</f>
        <v>9026.039398</v>
      </c>
      <c r="D60" s="522">
        <f>Payment!$C$10-C60</f>
        <v>9018.220802</v>
      </c>
      <c r="E60" s="522">
        <f t="shared" si="1"/>
        <v>3929617.153</v>
      </c>
    </row>
    <row r="61" ht="12.75" customHeight="1">
      <c r="A61" s="486">
        <f t="shared" si="2"/>
        <v>59</v>
      </c>
      <c r="B61" s="522">
        <f t="shared" si="3"/>
        <v>3929617.153</v>
      </c>
      <c r="C61" s="522">
        <f>(Payment!$C$6/12)*B61</f>
        <v>9005.372642</v>
      </c>
      <c r="D61" s="522">
        <f>Payment!$C$10-C61</f>
        <v>9038.887558</v>
      </c>
      <c r="E61" s="522">
        <f t="shared" si="1"/>
        <v>3920578.265</v>
      </c>
    </row>
    <row r="62" ht="15.75" customHeight="1">
      <c r="A62" s="486">
        <f t="shared" si="2"/>
        <v>60</v>
      </c>
      <c r="B62" s="522">
        <f t="shared" si="3"/>
        <v>3920578.265</v>
      </c>
      <c r="C62" s="522">
        <f>(Payment!$C$6/12)*B62</f>
        <v>8984.658525</v>
      </c>
      <c r="D62" s="522">
        <f>Payment!$C$10-C62</f>
        <v>9059.601675</v>
      </c>
      <c r="E62" s="522">
        <f t="shared" si="1"/>
        <v>3911518.664</v>
      </c>
      <c r="F62" s="526">
        <f>SUM(D51:D62)</f>
        <v>107358.4544</v>
      </c>
      <c r="G62" s="525" t="s">
        <v>341</v>
      </c>
      <c r="H62" s="5"/>
      <c r="I62" s="5"/>
    </row>
    <row r="63" ht="12.75" customHeight="1">
      <c r="A63" s="486">
        <f t="shared" si="2"/>
        <v>61</v>
      </c>
      <c r="B63" s="522">
        <f t="shared" si="3"/>
        <v>3911518.664</v>
      </c>
      <c r="C63" s="522">
        <f>(Payment!$C$6/12)*B63</f>
        <v>8963.896937</v>
      </c>
      <c r="D63" s="522">
        <f>Payment!$C$10-C63</f>
        <v>9080.363263</v>
      </c>
      <c r="E63" s="522">
        <f t="shared" si="1"/>
        <v>3902438.3</v>
      </c>
    </row>
    <row r="64" ht="12.75" customHeight="1">
      <c r="A64" s="486">
        <f t="shared" si="2"/>
        <v>62</v>
      </c>
      <c r="B64" s="522">
        <f t="shared" si="3"/>
        <v>3902438.3</v>
      </c>
      <c r="C64" s="522">
        <f>(Payment!$C$6/12)*B64</f>
        <v>8943.087772</v>
      </c>
      <c r="D64" s="522">
        <f>Payment!$C$10-C64</f>
        <v>9101.172428</v>
      </c>
      <c r="E64" s="522">
        <f t="shared" si="1"/>
        <v>3893337.128</v>
      </c>
    </row>
    <row r="65" ht="12.75" customHeight="1">
      <c r="A65" s="486">
        <f t="shared" si="2"/>
        <v>63</v>
      </c>
      <c r="B65" s="522">
        <f t="shared" si="3"/>
        <v>3893337.128</v>
      </c>
      <c r="C65" s="522">
        <f>(Payment!$C$6/12)*B65</f>
        <v>8922.230918</v>
      </c>
      <c r="D65" s="522">
        <f>Payment!$C$10-C65</f>
        <v>9122.029282</v>
      </c>
      <c r="E65" s="522">
        <f t="shared" si="1"/>
        <v>3884215.099</v>
      </c>
    </row>
    <row r="66" ht="12.75" customHeight="1">
      <c r="A66" s="486">
        <f t="shared" si="2"/>
        <v>64</v>
      </c>
      <c r="B66" s="522">
        <f t="shared" si="3"/>
        <v>3884215.099</v>
      </c>
      <c r="C66" s="522">
        <f>(Payment!$C$6/12)*B66</f>
        <v>8901.326268</v>
      </c>
      <c r="D66" s="522">
        <f>Payment!$C$10-C66</f>
        <v>9142.933932</v>
      </c>
      <c r="E66" s="522">
        <f t="shared" si="1"/>
        <v>3875072.165</v>
      </c>
    </row>
    <row r="67" ht="12.75" customHeight="1">
      <c r="A67" s="486">
        <f t="shared" si="2"/>
        <v>65</v>
      </c>
      <c r="B67" s="522">
        <f t="shared" si="3"/>
        <v>3875072.165</v>
      </c>
      <c r="C67" s="522">
        <f>(Payment!$C$6/12)*B67</f>
        <v>8880.373711</v>
      </c>
      <c r="D67" s="522">
        <f>Payment!$C$10-C67</f>
        <v>9163.886489</v>
      </c>
      <c r="E67" s="522">
        <f t="shared" si="1"/>
        <v>3865908.278</v>
      </c>
    </row>
    <row r="68" ht="12.75" customHeight="1">
      <c r="A68" s="486">
        <f t="shared" si="2"/>
        <v>66</v>
      </c>
      <c r="B68" s="522">
        <f t="shared" si="3"/>
        <v>3865908.278</v>
      </c>
      <c r="C68" s="522">
        <f>(Payment!$C$6/12)*B68</f>
        <v>8859.373138</v>
      </c>
      <c r="D68" s="522">
        <f>Payment!$C$10-C68</f>
        <v>9184.887063</v>
      </c>
      <c r="E68" s="522">
        <f t="shared" si="1"/>
        <v>3856723.391</v>
      </c>
    </row>
    <row r="69" ht="12.75" customHeight="1">
      <c r="A69" s="486">
        <f t="shared" si="2"/>
        <v>67</v>
      </c>
      <c r="B69" s="522">
        <f t="shared" si="3"/>
        <v>3856723.391</v>
      </c>
      <c r="C69" s="522">
        <f>(Payment!$C$6/12)*B69</f>
        <v>8838.324438</v>
      </c>
      <c r="D69" s="522">
        <f>Payment!$C$10-C69</f>
        <v>9205.935762</v>
      </c>
      <c r="E69" s="522">
        <f t="shared" si="1"/>
        <v>3847517.455</v>
      </c>
    </row>
    <row r="70" ht="12.75" customHeight="1">
      <c r="A70" s="486">
        <f t="shared" si="2"/>
        <v>68</v>
      </c>
      <c r="B70" s="522">
        <f t="shared" si="3"/>
        <v>3847517.455</v>
      </c>
      <c r="C70" s="522">
        <f>(Payment!$C$6/12)*B70</f>
        <v>8817.227502</v>
      </c>
      <c r="D70" s="522">
        <f>Payment!$C$10-C70</f>
        <v>9227.032698</v>
      </c>
      <c r="E70" s="522">
        <f t="shared" si="1"/>
        <v>3838290.423</v>
      </c>
    </row>
    <row r="71" ht="12.75" customHeight="1">
      <c r="A71" s="486">
        <f t="shared" si="2"/>
        <v>69</v>
      </c>
      <c r="B71" s="522">
        <f t="shared" si="3"/>
        <v>3838290.423</v>
      </c>
      <c r="C71" s="522">
        <f>(Payment!$C$6/12)*B71</f>
        <v>8796.082219</v>
      </c>
      <c r="D71" s="522">
        <f>Payment!$C$10-C71</f>
        <v>9248.177981</v>
      </c>
      <c r="E71" s="522">
        <f t="shared" si="1"/>
        <v>3829042.245</v>
      </c>
    </row>
    <row r="72" ht="12.75" customHeight="1">
      <c r="A72" s="486">
        <f t="shared" si="2"/>
        <v>70</v>
      </c>
      <c r="B72" s="522">
        <f t="shared" si="3"/>
        <v>3829042.245</v>
      </c>
      <c r="C72" s="522">
        <f>(Payment!$C$6/12)*B72</f>
        <v>8774.888478</v>
      </c>
      <c r="D72" s="522">
        <f>Payment!$C$10-C72</f>
        <v>9269.371723</v>
      </c>
      <c r="E72" s="522">
        <f t="shared" si="1"/>
        <v>3819772.873</v>
      </c>
    </row>
    <row r="73" ht="12.75" customHeight="1">
      <c r="A73" s="486">
        <f t="shared" si="2"/>
        <v>71</v>
      </c>
      <c r="B73" s="522">
        <f t="shared" si="3"/>
        <v>3819772.873</v>
      </c>
      <c r="C73" s="522">
        <f>(Payment!$C$6/12)*B73</f>
        <v>8753.646167</v>
      </c>
      <c r="D73" s="522">
        <f>Payment!$C$10-C73</f>
        <v>9290.614033</v>
      </c>
      <c r="E73" s="522">
        <f t="shared" si="1"/>
        <v>3810482.259</v>
      </c>
    </row>
    <row r="74" ht="12.75" customHeight="1">
      <c r="A74" s="486">
        <f t="shared" si="2"/>
        <v>72</v>
      </c>
      <c r="B74" s="522">
        <f t="shared" si="3"/>
        <v>3810482.259</v>
      </c>
      <c r="C74" s="522">
        <f>(Payment!$C$6/12)*B74</f>
        <v>8732.355177</v>
      </c>
      <c r="D74" s="522">
        <f>Payment!$C$10-C74</f>
        <v>9311.905023</v>
      </c>
      <c r="E74" s="522">
        <f t="shared" si="1"/>
        <v>3801170.354</v>
      </c>
    </row>
    <row r="75" ht="12.75" customHeight="1">
      <c r="A75" s="486">
        <f t="shared" si="2"/>
        <v>73</v>
      </c>
      <c r="B75" s="522">
        <f t="shared" si="3"/>
        <v>3801170.354</v>
      </c>
      <c r="C75" s="522">
        <f>(Payment!$C$6/12)*B75</f>
        <v>8711.015394</v>
      </c>
      <c r="D75" s="522">
        <f>Payment!$C$10-C75</f>
        <v>9333.244806</v>
      </c>
      <c r="E75" s="522">
        <f t="shared" si="1"/>
        <v>3791837.109</v>
      </c>
    </row>
    <row r="76" ht="12.75" customHeight="1">
      <c r="A76" s="486">
        <f t="shared" si="2"/>
        <v>74</v>
      </c>
      <c r="B76" s="522">
        <f t="shared" si="3"/>
        <v>3791837.109</v>
      </c>
      <c r="C76" s="522">
        <f>(Payment!$C$6/12)*B76</f>
        <v>8689.626708</v>
      </c>
      <c r="D76" s="522">
        <f>Payment!$C$10-C76</f>
        <v>9354.633492</v>
      </c>
      <c r="E76" s="522">
        <f t="shared" si="1"/>
        <v>3782482.476</v>
      </c>
    </row>
    <row r="77" ht="12.75" customHeight="1">
      <c r="A77" s="486">
        <f t="shared" si="2"/>
        <v>75</v>
      </c>
      <c r="B77" s="522">
        <f t="shared" si="3"/>
        <v>3782482.476</v>
      </c>
      <c r="C77" s="522">
        <f>(Payment!$C$6/12)*B77</f>
        <v>8668.189007</v>
      </c>
      <c r="D77" s="522">
        <f>Payment!$C$10-C77</f>
        <v>9376.071193</v>
      </c>
      <c r="E77" s="522">
        <f t="shared" si="1"/>
        <v>3773106.404</v>
      </c>
    </row>
    <row r="78" ht="12.75" customHeight="1">
      <c r="A78" s="486">
        <f t="shared" si="2"/>
        <v>76</v>
      </c>
      <c r="B78" s="522">
        <f t="shared" si="3"/>
        <v>3773106.404</v>
      </c>
      <c r="C78" s="522">
        <f>(Payment!$C$6/12)*B78</f>
        <v>8646.702177</v>
      </c>
      <c r="D78" s="522">
        <f>Payment!$C$10-C78</f>
        <v>9397.558023</v>
      </c>
      <c r="E78" s="522">
        <f t="shared" si="1"/>
        <v>3763708.846</v>
      </c>
    </row>
    <row r="79" ht="12.75" customHeight="1">
      <c r="A79" s="486">
        <f t="shared" si="2"/>
        <v>77</v>
      </c>
      <c r="B79" s="522">
        <f t="shared" si="3"/>
        <v>3763708.846</v>
      </c>
      <c r="C79" s="522">
        <f>(Payment!$C$6/12)*B79</f>
        <v>8625.166106</v>
      </c>
      <c r="D79" s="522">
        <f>Payment!$C$10-C79</f>
        <v>9419.094094</v>
      </c>
      <c r="E79" s="522">
        <f t="shared" si="1"/>
        <v>3754289.752</v>
      </c>
    </row>
    <row r="80" ht="12.75" customHeight="1">
      <c r="A80" s="486">
        <f t="shared" si="2"/>
        <v>78</v>
      </c>
      <c r="B80" s="522">
        <f t="shared" si="3"/>
        <v>3754289.752</v>
      </c>
      <c r="C80" s="522">
        <f>(Payment!$C$6/12)*B80</f>
        <v>8603.580682</v>
      </c>
      <c r="D80" s="522">
        <f>Payment!$C$10-C80</f>
        <v>9440.679518</v>
      </c>
      <c r="E80" s="522">
        <f t="shared" si="1"/>
        <v>3744849.073</v>
      </c>
    </row>
    <row r="81" ht="12.75" customHeight="1">
      <c r="A81" s="486">
        <f t="shared" si="2"/>
        <v>79</v>
      </c>
      <c r="B81" s="522">
        <f t="shared" si="3"/>
        <v>3744849.073</v>
      </c>
      <c r="C81" s="522">
        <f>(Payment!$C$6/12)*B81</f>
        <v>8581.945792</v>
      </c>
      <c r="D81" s="522">
        <f>Payment!$C$10-C81</f>
        <v>9462.314408</v>
      </c>
      <c r="E81" s="522">
        <f t="shared" si="1"/>
        <v>3735386.758</v>
      </c>
    </row>
    <row r="82" ht="12.75" customHeight="1">
      <c r="A82" s="486">
        <f t="shared" si="2"/>
        <v>80</v>
      </c>
      <c r="B82" s="522">
        <f t="shared" si="3"/>
        <v>3735386.758</v>
      </c>
      <c r="C82" s="522">
        <f>(Payment!$C$6/12)*B82</f>
        <v>8560.261321</v>
      </c>
      <c r="D82" s="522">
        <f>Payment!$C$10-C82</f>
        <v>9483.998879</v>
      </c>
      <c r="E82" s="522">
        <f t="shared" si="1"/>
        <v>3725902.76</v>
      </c>
    </row>
    <row r="83" ht="12.75" customHeight="1">
      <c r="A83" s="486">
        <f t="shared" si="2"/>
        <v>81</v>
      </c>
      <c r="B83" s="522">
        <f t="shared" si="3"/>
        <v>3725902.76</v>
      </c>
      <c r="C83" s="522">
        <f>(Payment!$C$6/12)*B83</f>
        <v>8538.527157</v>
      </c>
      <c r="D83" s="522">
        <f>Payment!$C$10-C83</f>
        <v>9505.733043</v>
      </c>
      <c r="E83" s="522">
        <f t="shared" si="1"/>
        <v>3716397.026</v>
      </c>
    </row>
    <row r="84" ht="12.75" customHeight="1">
      <c r="A84" s="486">
        <f t="shared" si="2"/>
        <v>82</v>
      </c>
      <c r="B84" s="522">
        <f t="shared" si="3"/>
        <v>3716397.026</v>
      </c>
      <c r="C84" s="522">
        <f>(Payment!$C$6/12)*B84</f>
        <v>8516.743186</v>
      </c>
      <c r="D84" s="522">
        <f>Payment!$C$10-C84</f>
        <v>9527.517014</v>
      </c>
      <c r="E84" s="522">
        <f t="shared" si="1"/>
        <v>3706869.509</v>
      </c>
    </row>
    <row r="85" ht="12.75" customHeight="1">
      <c r="A85" s="486">
        <f t="shared" si="2"/>
        <v>83</v>
      </c>
      <c r="B85" s="522">
        <f t="shared" si="3"/>
        <v>3706869.509</v>
      </c>
      <c r="C85" s="522">
        <f>(Payment!$C$6/12)*B85</f>
        <v>8494.909293</v>
      </c>
      <c r="D85" s="522">
        <f>Payment!$C$10-C85</f>
        <v>9549.350908</v>
      </c>
      <c r="E85" s="522">
        <f t="shared" si="1"/>
        <v>3697320.159</v>
      </c>
    </row>
    <row r="86" ht="12.75" customHeight="1">
      <c r="A86" s="486">
        <f t="shared" si="2"/>
        <v>84</v>
      </c>
      <c r="B86" s="522">
        <f t="shared" si="3"/>
        <v>3697320.159</v>
      </c>
      <c r="C86" s="522">
        <f>(Payment!$C$6/12)*B86</f>
        <v>8473.025363</v>
      </c>
      <c r="D86" s="522">
        <f>Payment!$C$10-C86</f>
        <v>9571.234837</v>
      </c>
      <c r="E86" s="522">
        <f t="shared" si="1"/>
        <v>3687748.924</v>
      </c>
    </row>
    <row r="87" ht="12.75" customHeight="1">
      <c r="A87" s="486">
        <f t="shared" si="2"/>
        <v>85</v>
      </c>
      <c r="B87" s="522">
        <f t="shared" si="3"/>
        <v>3687748.924</v>
      </c>
      <c r="C87" s="522">
        <f>(Payment!$C$6/12)*B87</f>
        <v>8451.091284</v>
      </c>
      <c r="D87" s="522">
        <f>Payment!$C$10-C87</f>
        <v>9593.168917</v>
      </c>
      <c r="E87" s="522">
        <f t="shared" si="1"/>
        <v>3678155.755</v>
      </c>
    </row>
    <row r="88" ht="12.75" customHeight="1">
      <c r="A88" s="486">
        <f t="shared" si="2"/>
        <v>86</v>
      </c>
      <c r="B88" s="522">
        <f t="shared" si="3"/>
        <v>3678155.755</v>
      </c>
      <c r="C88" s="522">
        <f>(Payment!$C$6/12)*B88</f>
        <v>8429.106938</v>
      </c>
      <c r="D88" s="522">
        <f>Payment!$C$10-C88</f>
        <v>9615.153262</v>
      </c>
      <c r="E88" s="522">
        <f t="shared" si="1"/>
        <v>3668540.602</v>
      </c>
    </row>
    <row r="89" ht="12.75" customHeight="1">
      <c r="A89" s="486">
        <f t="shared" si="2"/>
        <v>87</v>
      </c>
      <c r="B89" s="522">
        <f t="shared" si="3"/>
        <v>3668540.602</v>
      </c>
      <c r="C89" s="522">
        <f>(Payment!$C$6/12)*B89</f>
        <v>8407.072212</v>
      </c>
      <c r="D89" s="522">
        <f>Payment!$C$10-C89</f>
        <v>9637.187988</v>
      </c>
      <c r="E89" s="522">
        <f t="shared" si="1"/>
        <v>3658903.414</v>
      </c>
    </row>
    <row r="90" ht="12.75" customHeight="1">
      <c r="A90" s="486">
        <f t="shared" si="2"/>
        <v>88</v>
      </c>
      <c r="B90" s="522">
        <f t="shared" si="3"/>
        <v>3658903.414</v>
      </c>
      <c r="C90" s="522">
        <f>(Payment!$C$6/12)*B90</f>
        <v>8384.986989</v>
      </c>
      <c r="D90" s="522">
        <f>Payment!$C$10-C90</f>
        <v>9659.273211</v>
      </c>
      <c r="E90" s="522">
        <f t="shared" si="1"/>
        <v>3649244.14</v>
      </c>
    </row>
    <row r="91" ht="12.75" customHeight="1">
      <c r="A91" s="486">
        <f t="shared" si="2"/>
        <v>89</v>
      </c>
      <c r="B91" s="522">
        <f t="shared" si="3"/>
        <v>3649244.14</v>
      </c>
      <c r="C91" s="522">
        <f>(Payment!$C$6/12)*B91</f>
        <v>8362.851155</v>
      </c>
      <c r="D91" s="522">
        <f>Payment!$C$10-C91</f>
        <v>9681.409045</v>
      </c>
      <c r="E91" s="522">
        <f t="shared" si="1"/>
        <v>3639562.731</v>
      </c>
    </row>
    <row r="92" ht="12.75" customHeight="1">
      <c r="A92" s="486">
        <f t="shared" si="2"/>
        <v>90</v>
      </c>
      <c r="B92" s="522">
        <f t="shared" si="3"/>
        <v>3639562.731</v>
      </c>
      <c r="C92" s="522">
        <f>(Payment!$C$6/12)*B92</f>
        <v>8340.664593</v>
      </c>
      <c r="D92" s="522">
        <f>Payment!$C$10-C92</f>
        <v>9703.595608</v>
      </c>
      <c r="E92" s="522">
        <f t="shared" si="1"/>
        <v>3629859.136</v>
      </c>
    </row>
    <row r="93" ht="12.75" customHeight="1">
      <c r="A93" s="486">
        <f t="shared" si="2"/>
        <v>91</v>
      </c>
      <c r="B93" s="522">
        <f t="shared" si="3"/>
        <v>3629859.136</v>
      </c>
      <c r="C93" s="522">
        <f>(Payment!$C$6/12)*B93</f>
        <v>8318.427186</v>
      </c>
      <c r="D93" s="522">
        <f>Payment!$C$10-C93</f>
        <v>9725.833014</v>
      </c>
      <c r="E93" s="522">
        <f t="shared" si="1"/>
        <v>3620133.303</v>
      </c>
    </row>
    <row r="94" ht="12.75" customHeight="1">
      <c r="A94" s="486">
        <f t="shared" si="2"/>
        <v>92</v>
      </c>
      <c r="B94" s="522">
        <f t="shared" si="3"/>
        <v>3620133.303</v>
      </c>
      <c r="C94" s="522">
        <f>(Payment!$C$6/12)*B94</f>
        <v>8296.138819</v>
      </c>
      <c r="D94" s="522">
        <f>Payment!$C$10-C94</f>
        <v>9748.121381</v>
      </c>
      <c r="E94" s="522">
        <f t="shared" si="1"/>
        <v>3610385.181</v>
      </c>
    </row>
    <row r="95" ht="12.75" customHeight="1">
      <c r="A95" s="486">
        <f t="shared" si="2"/>
        <v>93</v>
      </c>
      <c r="B95" s="522">
        <f t="shared" si="3"/>
        <v>3610385.181</v>
      </c>
      <c r="C95" s="522">
        <f>(Payment!$C$6/12)*B95</f>
        <v>8273.799374</v>
      </c>
      <c r="D95" s="522">
        <f>Payment!$C$10-C95</f>
        <v>9770.460826</v>
      </c>
      <c r="E95" s="522">
        <f t="shared" si="1"/>
        <v>3600614.72</v>
      </c>
    </row>
    <row r="96" ht="12.75" customHeight="1">
      <c r="A96" s="486">
        <f t="shared" si="2"/>
        <v>94</v>
      </c>
      <c r="B96" s="522">
        <f t="shared" si="3"/>
        <v>3600614.72</v>
      </c>
      <c r="C96" s="522">
        <f>(Payment!$C$6/12)*B96</f>
        <v>8251.408734</v>
      </c>
      <c r="D96" s="522">
        <f>Payment!$C$10-C96</f>
        <v>9792.851466</v>
      </c>
      <c r="E96" s="522">
        <f t="shared" si="1"/>
        <v>3590821.869</v>
      </c>
    </row>
    <row r="97" ht="12.75" customHeight="1">
      <c r="A97" s="486">
        <f t="shared" si="2"/>
        <v>95</v>
      </c>
      <c r="B97" s="522">
        <f t="shared" si="3"/>
        <v>3590821.869</v>
      </c>
      <c r="C97" s="522">
        <f>(Payment!$C$6/12)*B97</f>
        <v>8228.966783</v>
      </c>
      <c r="D97" s="522">
        <f>Payment!$C$10-C97</f>
        <v>9815.293417</v>
      </c>
      <c r="E97" s="522">
        <f t="shared" si="1"/>
        <v>3581006.576</v>
      </c>
    </row>
    <row r="98" ht="12.75" customHeight="1">
      <c r="A98" s="486">
        <f t="shared" si="2"/>
        <v>96</v>
      </c>
      <c r="B98" s="522">
        <f t="shared" si="3"/>
        <v>3581006.576</v>
      </c>
      <c r="C98" s="522">
        <f>(Payment!$C$6/12)*B98</f>
        <v>8206.473402</v>
      </c>
      <c r="D98" s="522">
        <f>Payment!$C$10-C98</f>
        <v>9837.786798</v>
      </c>
      <c r="E98" s="522">
        <f t="shared" si="1"/>
        <v>3571168.789</v>
      </c>
    </row>
    <row r="99" ht="12.75" customHeight="1">
      <c r="A99" s="486">
        <f t="shared" si="2"/>
        <v>97</v>
      </c>
      <c r="B99" s="522">
        <f t="shared" si="3"/>
        <v>3571168.789</v>
      </c>
      <c r="C99" s="522">
        <f>(Payment!$C$6/12)*B99</f>
        <v>8183.928474</v>
      </c>
      <c r="D99" s="522">
        <f>Payment!$C$10-C99</f>
        <v>9860.331726</v>
      </c>
      <c r="E99" s="522">
        <f t="shared" si="1"/>
        <v>3561308.457</v>
      </c>
    </row>
    <row r="100" ht="12.75" customHeight="1">
      <c r="A100" s="486">
        <f t="shared" si="2"/>
        <v>98</v>
      </c>
      <c r="B100" s="522">
        <f t="shared" si="3"/>
        <v>3561308.457</v>
      </c>
      <c r="C100" s="522">
        <f>(Payment!$C$6/12)*B100</f>
        <v>8161.331881</v>
      </c>
      <c r="D100" s="522">
        <f>Payment!$C$10-C100</f>
        <v>9882.928319</v>
      </c>
      <c r="E100" s="522">
        <f t="shared" si="1"/>
        <v>3551425.529</v>
      </c>
    </row>
    <row r="101" ht="12.75" customHeight="1">
      <c r="A101" s="486">
        <f t="shared" si="2"/>
        <v>99</v>
      </c>
      <c r="B101" s="522">
        <f t="shared" si="3"/>
        <v>3551425.529</v>
      </c>
      <c r="C101" s="522">
        <f>(Payment!$C$6/12)*B101</f>
        <v>8138.683503</v>
      </c>
      <c r="D101" s="522">
        <f>Payment!$C$10-C101</f>
        <v>9905.576697</v>
      </c>
      <c r="E101" s="522">
        <f t="shared" si="1"/>
        <v>3541519.952</v>
      </c>
    </row>
    <row r="102" ht="12.75" customHeight="1">
      <c r="A102" s="486">
        <f t="shared" si="2"/>
        <v>100</v>
      </c>
      <c r="B102" s="522">
        <f t="shared" si="3"/>
        <v>3541519.952</v>
      </c>
      <c r="C102" s="522">
        <f>(Payment!$C$6/12)*B102</f>
        <v>8115.983223</v>
      </c>
      <c r="D102" s="522">
        <f>Payment!$C$10-C102</f>
        <v>9928.276977</v>
      </c>
      <c r="E102" s="522">
        <f t="shared" si="1"/>
        <v>3531591.675</v>
      </c>
    </row>
    <row r="103" ht="12.75" customHeight="1">
      <c r="A103" s="486">
        <f t="shared" si="2"/>
        <v>101</v>
      </c>
      <c r="B103" s="522">
        <f t="shared" si="3"/>
        <v>3531591.675</v>
      </c>
      <c r="C103" s="522">
        <f>(Payment!$C$6/12)*B103</f>
        <v>8093.230922</v>
      </c>
      <c r="D103" s="522">
        <f>Payment!$C$10-C103</f>
        <v>9951.029278</v>
      </c>
      <c r="E103" s="522">
        <f t="shared" si="1"/>
        <v>3521640.646</v>
      </c>
    </row>
    <row r="104" ht="12.75" customHeight="1">
      <c r="A104" s="486">
        <f t="shared" si="2"/>
        <v>102</v>
      </c>
      <c r="B104" s="522">
        <f t="shared" si="3"/>
        <v>3521640.646</v>
      </c>
      <c r="C104" s="522">
        <f>(Payment!$C$6/12)*B104</f>
        <v>8070.42648</v>
      </c>
      <c r="D104" s="522">
        <f>Payment!$C$10-C104</f>
        <v>9973.83372</v>
      </c>
      <c r="E104" s="522">
        <f t="shared" si="1"/>
        <v>3511666.812</v>
      </c>
    </row>
    <row r="105" ht="12.75" customHeight="1">
      <c r="A105" s="486">
        <f t="shared" si="2"/>
        <v>103</v>
      </c>
      <c r="B105" s="522">
        <f t="shared" si="3"/>
        <v>3511666.812</v>
      </c>
      <c r="C105" s="522">
        <f>(Payment!$C$6/12)*B105</f>
        <v>8047.569778</v>
      </c>
      <c r="D105" s="522">
        <f>Payment!$C$10-C105</f>
        <v>9996.690422</v>
      </c>
      <c r="E105" s="522">
        <f t="shared" si="1"/>
        <v>3501670.122</v>
      </c>
    </row>
    <row r="106" ht="12.75" customHeight="1">
      <c r="A106" s="486">
        <f t="shared" si="2"/>
        <v>104</v>
      </c>
      <c r="B106" s="522">
        <f t="shared" si="3"/>
        <v>3501670.122</v>
      </c>
      <c r="C106" s="522">
        <f>(Payment!$C$6/12)*B106</f>
        <v>8024.660695</v>
      </c>
      <c r="D106" s="522">
        <f>Payment!$C$10-C106</f>
        <v>10019.5995</v>
      </c>
      <c r="E106" s="522">
        <f t="shared" si="1"/>
        <v>3491650.522</v>
      </c>
    </row>
    <row r="107" ht="12.75" customHeight="1">
      <c r="A107" s="486">
        <f t="shared" si="2"/>
        <v>105</v>
      </c>
      <c r="B107" s="522">
        <f t="shared" si="3"/>
        <v>3491650.522</v>
      </c>
      <c r="C107" s="522">
        <f>(Payment!$C$6/12)*B107</f>
        <v>8001.699113</v>
      </c>
      <c r="D107" s="522">
        <f>Payment!$C$10-C107</f>
        <v>10042.56109</v>
      </c>
      <c r="E107" s="522">
        <f t="shared" si="1"/>
        <v>3481607.961</v>
      </c>
    </row>
    <row r="108" ht="12.75" customHeight="1">
      <c r="A108" s="486">
        <f t="shared" si="2"/>
        <v>106</v>
      </c>
      <c r="B108" s="522">
        <f t="shared" si="3"/>
        <v>3481607.961</v>
      </c>
      <c r="C108" s="522">
        <f>(Payment!$C$6/12)*B108</f>
        <v>7978.684911</v>
      </c>
      <c r="D108" s="522">
        <f>Payment!$C$10-C108</f>
        <v>10065.57529</v>
      </c>
      <c r="E108" s="522">
        <f t="shared" si="1"/>
        <v>3471542.386</v>
      </c>
    </row>
    <row r="109" ht="12.75" customHeight="1">
      <c r="A109" s="486">
        <f t="shared" si="2"/>
        <v>107</v>
      </c>
      <c r="B109" s="522">
        <f t="shared" si="3"/>
        <v>3471542.386</v>
      </c>
      <c r="C109" s="522">
        <f>(Payment!$C$6/12)*B109</f>
        <v>7955.617967</v>
      </c>
      <c r="D109" s="522">
        <f>Payment!$C$10-C109</f>
        <v>10088.64223</v>
      </c>
      <c r="E109" s="522">
        <f t="shared" si="1"/>
        <v>3461453.744</v>
      </c>
    </row>
    <row r="110" ht="12.75" customHeight="1">
      <c r="A110" s="486">
        <f t="shared" si="2"/>
        <v>108</v>
      </c>
      <c r="B110" s="522">
        <f t="shared" si="3"/>
        <v>3461453.744</v>
      </c>
      <c r="C110" s="522">
        <f>(Payment!$C$6/12)*B110</f>
        <v>7932.498162</v>
      </c>
      <c r="D110" s="522">
        <f>Payment!$C$10-C110</f>
        <v>10111.76204</v>
      </c>
      <c r="E110" s="522">
        <f t="shared" si="1"/>
        <v>3451341.982</v>
      </c>
    </row>
    <row r="111" ht="12.75" customHeight="1">
      <c r="A111" s="486">
        <f t="shared" si="2"/>
        <v>109</v>
      </c>
      <c r="B111" s="522">
        <f t="shared" si="3"/>
        <v>3451341.982</v>
      </c>
      <c r="C111" s="522">
        <f>(Payment!$C$6/12)*B111</f>
        <v>7909.325374</v>
      </c>
      <c r="D111" s="522">
        <f>Payment!$C$10-C111</f>
        <v>10134.93483</v>
      </c>
      <c r="E111" s="522">
        <f t="shared" si="1"/>
        <v>3441207.047</v>
      </c>
    </row>
    <row r="112" ht="12.75" customHeight="1">
      <c r="A112" s="486">
        <f t="shared" si="2"/>
        <v>110</v>
      </c>
      <c r="B112" s="522">
        <f t="shared" si="3"/>
        <v>3441207.047</v>
      </c>
      <c r="C112" s="522">
        <f>(Payment!$C$6/12)*B112</f>
        <v>7886.099482</v>
      </c>
      <c r="D112" s="522">
        <f>Payment!$C$10-C112</f>
        <v>10158.16072</v>
      </c>
      <c r="E112" s="522">
        <f t="shared" si="1"/>
        <v>3431048.886</v>
      </c>
    </row>
    <row r="113" ht="12.75" customHeight="1">
      <c r="A113" s="486">
        <f t="shared" si="2"/>
        <v>111</v>
      </c>
      <c r="B113" s="522">
        <f t="shared" si="3"/>
        <v>3431048.886</v>
      </c>
      <c r="C113" s="522">
        <f>(Payment!$C$6/12)*B113</f>
        <v>7862.820364</v>
      </c>
      <c r="D113" s="522">
        <f>Payment!$C$10-C113</f>
        <v>10181.43984</v>
      </c>
      <c r="E113" s="522">
        <f t="shared" si="1"/>
        <v>3420867.446</v>
      </c>
    </row>
    <row r="114" ht="12.75" customHeight="1">
      <c r="A114" s="486">
        <f t="shared" si="2"/>
        <v>112</v>
      </c>
      <c r="B114" s="522">
        <f t="shared" si="3"/>
        <v>3420867.446</v>
      </c>
      <c r="C114" s="522">
        <f>(Payment!$C$6/12)*B114</f>
        <v>7839.487897</v>
      </c>
      <c r="D114" s="522">
        <f>Payment!$C$10-C114</f>
        <v>10204.7723</v>
      </c>
      <c r="E114" s="522">
        <f t="shared" si="1"/>
        <v>3410662.674</v>
      </c>
    </row>
    <row r="115" ht="12.75" customHeight="1">
      <c r="A115" s="486">
        <f t="shared" si="2"/>
        <v>113</v>
      </c>
      <c r="B115" s="522">
        <f t="shared" si="3"/>
        <v>3410662.674</v>
      </c>
      <c r="C115" s="522">
        <f>(Payment!$C$6/12)*B115</f>
        <v>7816.101961</v>
      </c>
      <c r="D115" s="522">
        <f>Payment!$C$10-C115</f>
        <v>10228.15824</v>
      </c>
      <c r="E115" s="522">
        <f t="shared" si="1"/>
        <v>3400434.516</v>
      </c>
    </row>
    <row r="116" ht="12.75" customHeight="1">
      <c r="A116" s="486">
        <f t="shared" si="2"/>
        <v>114</v>
      </c>
      <c r="B116" s="522">
        <f t="shared" si="3"/>
        <v>3400434.516</v>
      </c>
      <c r="C116" s="522">
        <f>(Payment!$C$6/12)*B116</f>
        <v>7792.662432</v>
      </c>
      <c r="D116" s="522">
        <f>Payment!$C$10-C116</f>
        <v>10251.59777</v>
      </c>
      <c r="E116" s="522">
        <f t="shared" si="1"/>
        <v>3390182.918</v>
      </c>
    </row>
    <row r="117" ht="12.75" customHeight="1">
      <c r="A117" s="486">
        <f t="shared" si="2"/>
        <v>115</v>
      </c>
      <c r="B117" s="522">
        <f t="shared" si="3"/>
        <v>3390182.918</v>
      </c>
      <c r="C117" s="522">
        <f>(Payment!$C$6/12)*B117</f>
        <v>7769.169187</v>
      </c>
      <c r="D117" s="522">
        <f>Payment!$C$10-C117</f>
        <v>10275.09101</v>
      </c>
      <c r="E117" s="522">
        <f t="shared" si="1"/>
        <v>3379907.827</v>
      </c>
    </row>
    <row r="118" ht="12.75" customHeight="1">
      <c r="A118" s="486">
        <f t="shared" si="2"/>
        <v>116</v>
      </c>
      <c r="B118" s="522">
        <f t="shared" si="3"/>
        <v>3379907.827</v>
      </c>
      <c r="C118" s="522">
        <f>(Payment!$C$6/12)*B118</f>
        <v>7745.622103</v>
      </c>
      <c r="D118" s="522">
        <f>Payment!$C$10-C118</f>
        <v>10298.6381</v>
      </c>
      <c r="E118" s="522">
        <f t="shared" si="1"/>
        <v>3369609.189</v>
      </c>
    </row>
    <row r="119" ht="12.75" customHeight="1">
      <c r="A119" s="486">
        <f t="shared" si="2"/>
        <v>117</v>
      </c>
      <c r="B119" s="522">
        <f t="shared" si="3"/>
        <v>3369609.189</v>
      </c>
      <c r="C119" s="522">
        <f>(Payment!$C$6/12)*B119</f>
        <v>7722.021057</v>
      </c>
      <c r="D119" s="522">
        <f>Payment!$C$10-C119</f>
        <v>10322.23914</v>
      </c>
      <c r="E119" s="522">
        <f t="shared" si="1"/>
        <v>3359286.95</v>
      </c>
    </row>
    <row r="120" ht="12.75" customHeight="1">
      <c r="A120" s="486">
        <f t="shared" si="2"/>
        <v>118</v>
      </c>
      <c r="B120" s="522">
        <f t="shared" si="3"/>
        <v>3359286.95</v>
      </c>
      <c r="C120" s="522">
        <f>(Payment!$C$6/12)*B120</f>
        <v>7698.365926</v>
      </c>
      <c r="D120" s="522">
        <f>Payment!$C$10-C120</f>
        <v>10345.89427</v>
      </c>
      <c r="E120" s="522">
        <f t="shared" si="1"/>
        <v>3348941.055</v>
      </c>
    </row>
    <row r="121" ht="12.75" customHeight="1">
      <c r="A121" s="486">
        <f t="shared" si="2"/>
        <v>119</v>
      </c>
      <c r="B121" s="522">
        <f t="shared" si="3"/>
        <v>3348941.055</v>
      </c>
      <c r="C121" s="522">
        <f>(Payment!$C$6/12)*B121</f>
        <v>7674.656585</v>
      </c>
      <c r="D121" s="522">
        <f>Payment!$C$10-C121</f>
        <v>10369.60362</v>
      </c>
      <c r="E121" s="522">
        <f t="shared" si="1"/>
        <v>3338571.452</v>
      </c>
    </row>
    <row r="122" ht="12.75" customHeight="1">
      <c r="A122" s="486">
        <f t="shared" si="2"/>
        <v>120</v>
      </c>
      <c r="B122" s="522">
        <f t="shared" si="3"/>
        <v>3338571.452</v>
      </c>
      <c r="C122" s="522">
        <f>(Payment!$C$6/12)*B122</f>
        <v>7650.89291</v>
      </c>
      <c r="D122" s="522">
        <f>Payment!$C$10-C122</f>
        <v>10393.36729</v>
      </c>
      <c r="E122" s="522">
        <f t="shared" si="1"/>
        <v>3328178.084</v>
      </c>
    </row>
    <row r="123" ht="12.75" customHeight="1">
      <c r="A123" s="486">
        <f t="shared" si="2"/>
        <v>121</v>
      </c>
      <c r="B123" s="522">
        <f t="shared" si="3"/>
        <v>3328178.084</v>
      </c>
      <c r="C123" s="522">
        <f>(Payment!$C$6/12)*B123</f>
        <v>7627.074777</v>
      </c>
      <c r="D123" s="522">
        <f>Payment!$C$10-C123</f>
        <v>10417.18542</v>
      </c>
      <c r="E123" s="522">
        <f t="shared" si="1"/>
        <v>3317760.899</v>
      </c>
    </row>
    <row r="124" ht="12.75" customHeight="1">
      <c r="A124" s="486">
        <f t="shared" si="2"/>
        <v>122</v>
      </c>
      <c r="B124" s="522">
        <f t="shared" si="3"/>
        <v>3317760.899</v>
      </c>
      <c r="C124" s="522">
        <f>(Payment!$C$6/12)*B124</f>
        <v>7603.20206</v>
      </c>
      <c r="D124" s="522">
        <f>Payment!$C$10-C124</f>
        <v>10441.05814</v>
      </c>
      <c r="E124" s="522">
        <f t="shared" si="1"/>
        <v>3307319.841</v>
      </c>
    </row>
    <row r="125" ht="12.75" customHeight="1">
      <c r="A125" s="486">
        <f t="shared" si="2"/>
        <v>123</v>
      </c>
      <c r="B125" s="522">
        <f t="shared" si="3"/>
        <v>3307319.841</v>
      </c>
      <c r="C125" s="522">
        <f>(Payment!$C$6/12)*B125</f>
        <v>7579.274635</v>
      </c>
      <c r="D125" s="522">
        <f>Payment!$C$10-C125</f>
        <v>10464.98556</v>
      </c>
      <c r="E125" s="522">
        <f t="shared" si="1"/>
        <v>3296854.855</v>
      </c>
    </row>
    <row r="126" ht="12.75" customHeight="1">
      <c r="A126" s="486">
        <f t="shared" si="2"/>
        <v>124</v>
      </c>
      <c r="B126" s="522">
        <f t="shared" si="3"/>
        <v>3296854.855</v>
      </c>
      <c r="C126" s="522">
        <f>(Payment!$C$6/12)*B126</f>
        <v>7555.292377</v>
      </c>
      <c r="D126" s="522">
        <f>Payment!$C$10-C126</f>
        <v>10488.96782</v>
      </c>
      <c r="E126" s="522">
        <f t="shared" si="1"/>
        <v>3286365.887</v>
      </c>
    </row>
    <row r="127" ht="12.75" customHeight="1">
      <c r="A127" s="486">
        <f t="shared" si="2"/>
        <v>125</v>
      </c>
      <c r="B127" s="522">
        <f t="shared" si="3"/>
        <v>3286365.887</v>
      </c>
      <c r="C127" s="522">
        <f>(Payment!$C$6/12)*B127</f>
        <v>7531.255159</v>
      </c>
      <c r="D127" s="522">
        <f>Payment!$C$10-C127</f>
        <v>10513.00504</v>
      </c>
      <c r="E127" s="522">
        <f t="shared" si="1"/>
        <v>3275852.882</v>
      </c>
    </row>
    <row r="128" ht="12.75" customHeight="1">
      <c r="A128" s="486">
        <f t="shared" si="2"/>
        <v>126</v>
      </c>
      <c r="B128" s="522">
        <f t="shared" si="3"/>
        <v>3275852.882</v>
      </c>
      <c r="C128" s="522">
        <f>(Payment!$C$6/12)*B128</f>
        <v>7507.162855</v>
      </c>
      <c r="D128" s="522">
        <f>Payment!$C$10-C128</f>
        <v>10537.09734</v>
      </c>
      <c r="E128" s="522">
        <f t="shared" si="1"/>
        <v>3265315.785</v>
      </c>
    </row>
    <row r="129" ht="12.75" customHeight="1">
      <c r="A129" s="486">
        <f t="shared" si="2"/>
        <v>127</v>
      </c>
      <c r="B129" s="522">
        <f t="shared" si="3"/>
        <v>3265315.785</v>
      </c>
      <c r="C129" s="522">
        <f>(Payment!$C$6/12)*B129</f>
        <v>7483.015341</v>
      </c>
      <c r="D129" s="522">
        <f>Payment!$C$10-C129</f>
        <v>10561.24486</v>
      </c>
      <c r="E129" s="522">
        <f t="shared" si="1"/>
        <v>3254754.54</v>
      </c>
    </row>
    <row r="130" ht="12.75" customHeight="1">
      <c r="A130" s="486">
        <f t="shared" si="2"/>
        <v>128</v>
      </c>
      <c r="B130" s="522">
        <f t="shared" si="3"/>
        <v>3254754.54</v>
      </c>
      <c r="C130" s="522">
        <f>(Payment!$C$6/12)*B130</f>
        <v>7458.812488</v>
      </c>
      <c r="D130" s="522">
        <f>Payment!$C$10-C130</f>
        <v>10585.44771</v>
      </c>
      <c r="E130" s="522">
        <f t="shared" si="1"/>
        <v>3244169.092</v>
      </c>
    </row>
    <row r="131" ht="12.75" customHeight="1">
      <c r="A131" s="486">
        <f t="shared" si="2"/>
        <v>129</v>
      </c>
      <c r="B131" s="522">
        <f t="shared" si="3"/>
        <v>3244169.092</v>
      </c>
      <c r="C131" s="522">
        <f>(Payment!$C$6/12)*B131</f>
        <v>7434.55417</v>
      </c>
      <c r="D131" s="522">
        <f>Payment!$C$10-C131</f>
        <v>10609.70603</v>
      </c>
      <c r="E131" s="522">
        <f t="shared" si="1"/>
        <v>3233559.386</v>
      </c>
    </row>
    <row r="132" ht="12.75" customHeight="1">
      <c r="A132" s="486">
        <f t="shared" si="2"/>
        <v>130</v>
      </c>
      <c r="B132" s="522">
        <f t="shared" si="3"/>
        <v>3233559.386</v>
      </c>
      <c r="C132" s="522">
        <f>(Payment!$C$6/12)*B132</f>
        <v>7410.240261</v>
      </c>
      <c r="D132" s="522">
        <f>Payment!$C$10-C132</f>
        <v>10634.01994</v>
      </c>
      <c r="E132" s="522">
        <f t="shared" si="1"/>
        <v>3222925.367</v>
      </c>
    </row>
    <row r="133" ht="12.75" customHeight="1">
      <c r="A133" s="486">
        <f t="shared" si="2"/>
        <v>131</v>
      </c>
      <c r="B133" s="522">
        <f t="shared" si="3"/>
        <v>3222925.367</v>
      </c>
      <c r="C133" s="522">
        <f>(Payment!$C$6/12)*B133</f>
        <v>7385.870632</v>
      </c>
      <c r="D133" s="522">
        <f>Payment!$C$10-C133</f>
        <v>10658.38957</v>
      </c>
      <c r="E133" s="522">
        <f t="shared" si="1"/>
        <v>3212266.977</v>
      </c>
    </row>
    <row r="134" ht="12.75" customHeight="1">
      <c r="A134" s="486">
        <f t="shared" si="2"/>
        <v>132</v>
      </c>
      <c r="B134" s="522">
        <f t="shared" si="3"/>
        <v>3212266.977</v>
      </c>
      <c r="C134" s="522">
        <f>(Payment!$C$6/12)*B134</f>
        <v>7361.445155</v>
      </c>
      <c r="D134" s="522">
        <f>Payment!$C$10-C134</f>
        <v>10682.81504</v>
      </c>
      <c r="E134" s="522">
        <f t="shared" si="1"/>
        <v>3201584.162</v>
      </c>
    </row>
    <row r="135" ht="12.75" customHeight="1">
      <c r="A135" s="486">
        <f t="shared" si="2"/>
        <v>133</v>
      </c>
      <c r="B135" s="522">
        <f t="shared" si="3"/>
        <v>3201584.162</v>
      </c>
      <c r="C135" s="522">
        <f>(Payment!$C$6/12)*B135</f>
        <v>7336.963704</v>
      </c>
      <c r="D135" s="522">
        <f>Payment!$C$10-C135</f>
        <v>10707.2965</v>
      </c>
      <c r="E135" s="522">
        <f t="shared" si="1"/>
        <v>3190876.865</v>
      </c>
    </row>
    <row r="136" ht="12.75" customHeight="1">
      <c r="A136" s="486">
        <f t="shared" si="2"/>
        <v>134</v>
      </c>
      <c r="B136" s="522">
        <f t="shared" si="3"/>
        <v>3190876.865</v>
      </c>
      <c r="C136" s="522">
        <f>(Payment!$C$6/12)*B136</f>
        <v>7312.42615</v>
      </c>
      <c r="D136" s="522">
        <f>Payment!$C$10-C136</f>
        <v>10731.83405</v>
      </c>
      <c r="E136" s="522">
        <f t="shared" si="1"/>
        <v>3180145.031</v>
      </c>
    </row>
    <row r="137" ht="12.75" customHeight="1">
      <c r="A137" s="486">
        <f t="shared" si="2"/>
        <v>135</v>
      </c>
      <c r="B137" s="522">
        <f t="shared" si="3"/>
        <v>3180145.031</v>
      </c>
      <c r="C137" s="522">
        <f>(Payment!$C$6/12)*B137</f>
        <v>7287.832364</v>
      </c>
      <c r="D137" s="522">
        <f>Payment!$C$10-C137</f>
        <v>10756.42784</v>
      </c>
      <c r="E137" s="522">
        <f t="shared" si="1"/>
        <v>3169388.604</v>
      </c>
    </row>
    <row r="138" ht="12.75" customHeight="1">
      <c r="A138" s="486">
        <f t="shared" si="2"/>
        <v>136</v>
      </c>
      <c r="B138" s="522">
        <f t="shared" si="3"/>
        <v>3169388.604</v>
      </c>
      <c r="C138" s="522">
        <f>(Payment!$C$6/12)*B138</f>
        <v>7263.182216</v>
      </c>
      <c r="D138" s="522">
        <f>Payment!$C$10-C138</f>
        <v>10781.07798</v>
      </c>
      <c r="E138" s="522">
        <f t="shared" si="1"/>
        <v>3158607.526</v>
      </c>
    </row>
    <row r="139" ht="12.75" customHeight="1">
      <c r="A139" s="486">
        <f t="shared" si="2"/>
        <v>137</v>
      </c>
      <c r="B139" s="522">
        <f t="shared" si="3"/>
        <v>3158607.526</v>
      </c>
      <c r="C139" s="522">
        <f>(Payment!$C$6/12)*B139</f>
        <v>7238.475579</v>
      </c>
      <c r="D139" s="522">
        <f>Payment!$C$10-C139</f>
        <v>10805.78462</v>
      </c>
      <c r="E139" s="522">
        <f t="shared" si="1"/>
        <v>3147801.741</v>
      </c>
    </row>
    <row r="140" ht="12.75" customHeight="1">
      <c r="A140" s="486">
        <f t="shared" si="2"/>
        <v>138</v>
      </c>
      <c r="B140" s="522">
        <f t="shared" si="3"/>
        <v>3147801.741</v>
      </c>
      <c r="C140" s="522">
        <f>(Payment!$C$6/12)*B140</f>
        <v>7213.712323</v>
      </c>
      <c r="D140" s="522">
        <f>Payment!$C$10-C140</f>
        <v>10830.54788</v>
      </c>
      <c r="E140" s="522">
        <f t="shared" si="1"/>
        <v>3136971.193</v>
      </c>
    </row>
    <row r="141" ht="12.75" customHeight="1">
      <c r="A141" s="486">
        <f t="shared" si="2"/>
        <v>139</v>
      </c>
      <c r="B141" s="522">
        <f t="shared" si="3"/>
        <v>3136971.193</v>
      </c>
      <c r="C141" s="522">
        <f>(Payment!$C$6/12)*B141</f>
        <v>7188.892317</v>
      </c>
      <c r="D141" s="522">
        <f>Payment!$C$10-C141</f>
        <v>10855.36788</v>
      </c>
      <c r="E141" s="522">
        <f t="shared" si="1"/>
        <v>3126115.825</v>
      </c>
    </row>
    <row r="142" ht="12.75" customHeight="1">
      <c r="A142" s="486">
        <f t="shared" si="2"/>
        <v>140</v>
      </c>
      <c r="B142" s="522">
        <f t="shared" si="3"/>
        <v>3126115.825</v>
      </c>
      <c r="C142" s="522">
        <f>(Payment!$C$6/12)*B142</f>
        <v>7164.015433</v>
      </c>
      <c r="D142" s="522">
        <f>Payment!$C$10-C142</f>
        <v>10880.24477</v>
      </c>
      <c r="E142" s="522">
        <f t="shared" si="1"/>
        <v>3115235.58</v>
      </c>
    </row>
    <row r="143" ht="12.75" customHeight="1">
      <c r="A143" s="486">
        <f t="shared" si="2"/>
        <v>141</v>
      </c>
      <c r="B143" s="522">
        <f t="shared" si="3"/>
        <v>3115235.58</v>
      </c>
      <c r="C143" s="522">
        <f>(Payment!$C$6/12)*B143</f>
        <v>7139.081538</v>
      </c>
      <c r="D143" s="522">
        <f>Payment!$C$10-C143</f>
        <v>10905.17866</v>
      </c>
      <c r="E143" s="522">
        <f t="shared" si="1"/>
        <v>3104330.402</v>
      </c>
    </row>
    <row r="144" ht="12.75" customHeight="1">
      <c r="A144" s="486">
        <f t="shared" si="2"/>
        <v>142</v>
      </c>
      <c r="B144" s="522">
        <f t="shared" si="3"/>
        <v>3104330.402</v>
      </c>
      <c r="C144" s="522">
        <f>(Payment!$C$6/12)*B144</f>
        <v>7114.090504</v>
      </c>
      <c r="D144" s="522">
        <f>Payment!$C$10-C144</f>
        <v>10930.1697</v>
      </c>
      <c r="E144" s="522">
        <f t="shared" si="1"/>
        <v>3093400.232</v>
      </c>
    </row>
    <row r="145" ht="12.75" customHeight="1">
      <c r="A145" s="486">
        <f t="shared" si="2"/>
        <v>143</v>
      </c>
      <c r="B145" s="522">
        <f t="shared" si="3"/>
        <v>3093400.232</v>
      </c>
      <c r="C145" s="522">
        <f>(Payment!$C$6/12)*B145</f>
        <v>7089.042198</v>
      </c>
      <c r="D145" s="522">
        <f>Payment!$C$10-C145</f>
        <v>10955.218</v>
      </c>
      <c r="E145" s="522">
        <f t="shared" si="1"/>
        <v>3082445.014</v>
      </c>
    </row>
    <row r="146" ht="12.75" customHeight="1">
      <c r="A146" s="486">
        <f t="shared" si="2"/>
        <v>144</v>
      </c>
      <c r="B146" s="522">
        <f t="shared" si="3"/>
        <v>3082445.014</v>
      </c>
      <c r="C146" s="522">
        <f>(Payment!$C$6/12)*B146</f>
        <v>7063.93649</v>
      </c>
      <c r="D146" s="522">
        <f>Payment!$C$10-C146</f>
        <v>10980.32371</v>
      </c>
      <c r="E146" s="522">
        <f t="shared" si="1"/>
        <v>3071464.69</v>
      </c>
    </row>
    <row r="147" ht="12.75" customHeight="1">
      <c r="A147" s="486">
        <f t="shared" si="2"/>
        <v>145</v>
      </c>
      <c r="B147" s="522">
        <f t="shared" si="3"/>
        <v>3071464.69</v>
      </c>
      <c r="C147" s="522">
        <f>(Payment!$C$6/12)*B147</f>
        <v>7038.773249</v>
      </c>
      <c r="D147" s="522">
        <f>Payment!$C$10-C147</f>
        <v>11005.48695</v>
      </c>
      <c r="E147" s="522">
        <f t="shared" si="1"/>
        <v>3060459.203</v>
      </c>
    </row>
    <row r="148" ht="12.75" customHeight="1">
      <c r="A148" s="486">
        <f t="shared" si="2"/>
        <v>146</v>
      </c>
      <c r="B148" s="522">
        <f t="shared" si="3"/>
        <v>3060459.203</v>
      </c>
      <c r="C148" s="522">
        <f>(Payment!$C$6/12)*B148</f>
        <v>7013.552341</v>
      </c>
      <c r="D148" s="522">
        <f>Payment!$C$10-C148</f>
        <v>11030.70786</v>
      </c>
      <c r="E148" s="522">
        <f t="shared" si="1"/>
        <v>3049428.496</v>
      </c>
    </row>
    <row r="149" ht="12.75" customHeight="1">
      <c r="A149" s="486">
        <f t="shared" si="2"/>
        <v>147</v>
      </c>
      <c r="B149" s="522">
        <f t="shared" si="3"/>
        <v>3049428.496</v>
      </c>
      <c r="C149" s="522">
        <f>(Payment!$C$6/12)*B149</f>
        <v>6988.273636</v>
      </c>
      <c r="D149" s="522">
        <f>Payment!$C$10-C149</f>
        <v>11055.98656</v>
      </c>
      <c r="E149" s="522">
        <f t="shared" si="1"/>
        <v>3038372.509</v>
      </c>
    </row>
    <row r="150" ht="12.75" customHeight="1">
      <c r="A150" s="486">
        <f t="shared" si="2"/>
        <v>148</v>
      </c>
      <c r="B150" s="522">
        <f t="shared" si="3"/>
        <v>3038372.509</v>
      </c>
      <c r="C150" s="522">
        <f>(Payment!$C$6/12)*B150</f>
        <v>6962.937</v>
      </c>
      <c r="D150" s="522">
        <f>Payment!$C$10-C150</f>
        <v>11081.3232</v>
      </c>
      <c r="E150" s="522">
        <f t="shared" si="1"/>
        <v>3027291.186</v>
      </c>
    </row>
    <row r="151" ht="12.75" customHeight="1">
      <c r="A151" s="486">
        <f t="shared" si="2"/>
        <v>149</v>
      </c>
      <c r="B151" s="522">
        <f t="shared" si="3"/>
        <v>3027291.186</v>
      </c>
      <c r="C151" s="522">
        <f>(Payment!$C$6/12)*B151</f>
        <v>6937.542301</v>
      </c>
      <c r="D151" s="522">
        <f>Payment!$C$10-C151</f>
        <v>11106.7179</v>
      </c>
      <c r="E151" s="522">
        <f t="shared" si="1"/>
        <v>3016184.468</v>
      </c>
    </row>
    <row r="152" ht="12.75" customHeight="1">
      <c r="A152" s="486">
        <f t="shared" si="2"/>
        <v>150</v>
      </c>
      <c r="B152" s="522">
        <f t="shared" si="3"/>
        <v>3016184.468</v>
      </c>
      <c r="C152" s="522">
        <f>(Payment!$C$6/12)*B152</f>
        <v>6912.089405</v>
      </c>
      <c r="D152" s="522">
        <f>Payment!$C$10-C152</f>
        <v>11132.17079</v>
      </c>
      <c r="E152" s="522">
        <f t="shared" si="1"/>
        <v>3005052.297</v>
      </c>
    </row>
    <row r="153" ht="12.75" customHeight="1">
      <c r="A153" s="486">
        <f t="shared" si="2"/>
        <v>151</v>
      </c>
      <c r="B153" s="522">
        <f t="shared" si="3"/>
        <v>3005052.297</v>
      </c>
      <c r="C153" s="522">
        <f>(Payment!$C$6/12)*B153</f>
        <v>6886.578181</v>
      </c>
      <c r="D153" s="522">
        <f>Payment!$C$10-C153</f>
        <v>11157.68202</v>
      </c>
      <c r="E153" s="522">
        <f t="shared" si="1"/>
        <v>2993894.615</v>
      </c>
    </row>
    <row r="154" ht="12.75" customHeight="1">
      <c r="A154" s="486">
        <f t="shared" si="2"/>
        <v>152</v>
      </c>
      <c r="B154" s="522">
        <f t="shared" si="3"/>
        <v>2993894.615</v>
      </c>
      <c r="C154" s="522">
        <f>(Payment!$C$6/12)*B154</f>
        <v>6861.008493</v>
      </c>
      <c r="D154" s="522">
        <f>Payment!$C$10-C154</f>
        <v>11183.25171</v>
      </c>
      <c r="E154" s="522">
        <f t="shared" si="1"/>
        <v>2982711.363</v>
      </c>
    </row>
    <row r="155" ht="12.75" customHeight="1">
      <c r="A155" s="486">
        <f t="shared" si="2"/>
        <v>153</v>
      </c>
      <c r="B155" s="522">
        <f t="shared" si="3"/>
        <v>2982711.363</v>
      </c>
      <c r="C155" s="522">
        <f>(Payment!$C$6/12)*B155</f>
        <v>6835.380208</v>
      </c>
      <c r="D155" s="522">
        <f>Payment!$C$10-C155</f>
        <v>11208.87999</v>
      </c>
      <c r="E155" s="522">
        <f t="shared" si="1"/>
        <v>2971502.483</v>
      </c>
    </row>
    <row r="156" ht="12.75" customHeight="1">
      <c r="A156" s="486">
        <f t="shared" si="2"/>
        <v>154</v>
      </c>
      <c r="B156" s="522">
        <f t="shared" si="3"/>
        <v>2971502.483</v>
      </c>
      <c r="C156" s="522">
        <f>(Payment!$C$6/12)*B156</f>
        <v>6809.693191</v>
      </c>
      <c r="D156" s="522">
        <f>Payment!$C$10-C156</f>
        <v>11234.56701</v>
      </c>
      <c r="E156" s="522">
        <f t="shared" si="1"/>
        <v>2960267.916</v>
      </c>
    </row>
    <row r="157" ht="12.75" customHeight="1">
      <c r="A157" s="486">
        <f t="shared" si="2"/>
        <v>155</v>
      </c>
      <c r="B157" s="522">
        <f t="shared" si="3"/>
        <v>2960267.916</v>
      </c>
      <c r="C157" s="522">
        <f>(Payment!$C$6/12)*B157</f>
        <v>6783.947308</v>
      </c>
      <c r="D157" s="522">
        <f>Payment!$C$10-C157</f>
        <v>11260.31289</v>
      </c>
      <c r="E157" s="522">
        <f t="shared" si="1"/>
        <v>2949007.603</v>
      </c>
    </row>
    <row r="158" ht="12.75" customHeight="1">
      <c r="A158" s="486">
        <f t="shared" si="2"/>
        <v>156</v>
      </c>
      <c r="B158" s="522">
        <f t="shared" si="3"/>
        <v>2949007.603</v>
      </c>
      <c r="C158" s="522">
        <f>(Payment!$C$6/12)*B158</f>
        <v>6758.142425</v>
      </c>
      <c r="D158" s="522">
        <f>Payment!$C$10-C158</f>
        <v>11286.11778</v>
      </c>
      <c r="E158" s="522">
        <f t="shared" si="1"/>
        <v>2937721.486</v>
      </c>
    </row>
    <row r="159" ht="12.75" customHeight="1">
      <c r="A159" s="486">
        <f t="shared" si="2"/>
        <v>157</v>
      </c>
      <c r="B159" s="522">
        <f t="shared" si="3"/>
        <v>2937721.486</v>
      </c>
      <c r="C159" s="522">
        <f>(Payment!$C$6/12)*B159</f>
        <v>6732.278405</v>
      </c>
      <c r="D159" s="522">
        <f>Payment!$C$10-C159</f>
        <v>11311.9818</v>
      </c>
      <c r="E159" s="522">
        <f t="shared" si="1"/>
        <v>2926409.504</v>
      </c>
    </row>
    <row r="160" ht="12.75" customHeight="1">
      <c r="A160" s="486">
        <f t="shared" si="2"/>
        <v>158</v>
      </c>
      <c r="B160" s="522">
        <f t="shared" si="3"/>
        <v>2926409.504</v>
      </c>
      <c r="C160" s="522">
        <f>(Payment!$C$6/12)*B160</f>
        <v>6706.355113</v>
      </c>
      <c r="D160" s="522">
        <f>Payment!$C$10-C160</f>
        <v>11337.90509</v>
      </c>
      <c r="E160" s="522">
        <f t="shared" si="1"/>
        <v>2915071.599</v>
      </c>
    </row>
    <row r="161" ht="12.75" customHeight="1">
      <c r="A161" s="486">
        <f t="shared" si="2"/>
        <v>159</v>
      </c>
      <c r="B161" s="522">
        <f t="shared" si="3"/>
        <v>2915071.599</v>
      </c>
      <c r="C161" s="522">
        <f>(Payment!$C$6/12)*B161</f>
        <v>6680.372414</v>
      </c>
      <c r="D161" s="522">
        <f>Payment!$C$10-C161</f>
        <v>11363.88779</v>
      </c>
      <c r="E161" s="522">
        <f t="shared" si="1"/>
        <v>2903707.711</v>
      </c>
    </row>
    <row r="162" ht="12.75" customHeight="1">
      <c r="A162" s="486">
        <f t="shared" si="2"/>
        <v>160</v>
      </c>
      <c r="B162" s="522">
        <f t="shared" si="3"/>
        <v>2903707.711</v>
      </c>
      <c r="C162" s="522">
        <f>(Payment!$C$6/12)*B162</f>
        <v>6654.330171</v>
      </c>
      <c r="D162" s="522">
        <f>Payment!$C$10-C162</f>
        <v>11389.93003</v>
      </c>
      <c r="E162" s="522">
        <f t="shared" si="1"/>
        <v>2892317.781</v>
      </c>
    </row>
    <row r="163" ht="12.75" customHeight="1">
      <c r="A163" s="486">
        <f t="shared" si="2"/>
        <v>161</v>
      </c>
      <c r="B163" s="522">
        <f t="shared" si="3"/>
        <v>2892317.781</v>
      </c>
      <c r="C163" s="522">
        <f>(Payment!$C$6/12)*B163</f>
        <v>6628.228248</v>
      </c>
      <c r="D163" s="522">
        <f>Payment!$C$10-C163</f>
        <v>11416.03195</v>
      </c>
      <c r="E163" s="522">
        <f t="shared" si="1"/>
        <v>2880901.749</v>
      </c>
    </row>
    <row r="164" ht="12.75" customHeight="1">
      <c r="A164" s="486">
        <f t="shared" si="2"/>
        <v>162</v>
      </c>
      <c r="B164" s="522">
        <f t="shared" si="3"/>
        <v>2880901.749</v>
      </c>
      <c r="C164" s="522">
        <f>(Payment!$C$6/12)*B164</f>
        <v>6602.066508</v>
      </c>
      <c r="D164" s="522">
        <f>Payment!$C$10-C164</f>
        <v>11442.19369</v>
      </c>
      <c r="E164" s="522">
        <f t="shared" si="1"/>
        <v>2869459.555</v>
      </c>
    </row>
    <row r="165" ht="12.75" customHeight="1">
      <c r="A165" s="486">
        <f t="shared" si="2"/>
        <v>163</v>
      </c>
      <c r="B165" s="522">
        <f t="shared" si="3"/>
        <v>2869459.555</v>
      </c>
      <c r="C165" s="522">
        <f>(Payment!$C$6/12)*B165</f>
        <v>6575.844814</v>
      </c>
      <c r="D165" s="522">
        <f>Payment!$C$10-C165</f>
        <v>11468.41539</v>
      </c>
      <c r="E165" s="522">
        <f t="shared" si="1"/>
        <v>2857991.14</v>
      </c>
    </row>
    <row r="166" ht="12.75" customHeight="1">
      <c r="A166" s="486">
        <f t="shared" si="2"/>
        <v>164</v>
      </c>
      <c r="B166" s="522">
        <f t="shared" si="3"/>
        <v>2857991.14</v>
      </c>
      <c r="C166" s="522">
        <f>(Payment!$C$6/12)*B166</f>
        <v>6549.563029</v>
      </c>
      <c r="D166" s="522">
        <f>Payment!$C$10-C166</f>
        <v>11494.69717</v>
      </c>
      <c r="E166" s="522">
        <f t="shared" si="1"/>
        <v>2846496.443</v>
      </c>
    </row>
    <row r="167" ht="12.75" customHeight="1">
      <c r="A167" s="486">
        <f t="shared" si="2"/>
        <v>165</v>
      </c>
      <c r="B167" s="522">
        <f t="shared" si="3"/>
        <v>2846496.443</v>
      </c>
      <c r="C167" s="522">
        <f>(Payment!$C$6/12)*B167</f>
        <v>6523.221015</v>
      </c>
      <c r="D167" s="522">
        <f>Payment!$C$10-C167</f>
        <v>11521.03919</v>
      </c>
      <c r="E167" s="522">
        <f t="shared" si="1"/>
        <v>2834975.404</v>
      </c>
    </row>
    <row r="168" ht="12.75" customHeight="1">
      <c r="A168" s="486">
        <f t="shared" si="2"/>
        <v>166</v>
      </c>
      <c r="B168" s="522">
        <f t="shared" si="3"/>
        <v>2834975.404</v>
      </c>
      <c r="C168" s="522">
        <f>(Payment!$C$6/12)*B168</f>
        <v>6496.818633</v>
      </c>
      <c r="D168" s="522">
        <f>Payment!$C$10-C168</f>
        <v>11547.44157</v>
      </c>
      <c r="E168" s="522">
        <f t="shared" si="1"/>
        <v>2823427.962</v>
      </c>
    </row>
    <row r="169" ht="12.75" customHeight="1">
      <c r="A169" s="486">
        <f t="shared" si="2"/>
        <v>167</v>
      </c>
      <c r="B169" s="522">
        <f t="shared" si="3"/>
        <v>2823427.962</v>
      </c>
      <c r="C169" s="522">
        <f>(Payment!$C$6/12)*B169</f>
        <v>6470.355746</v>
      </c>
      <c r="D169" s="522">
        <f>Payment!$C$10-C169</f>
        <v>11573.90445</v>
      </c>
      <c r="E169" s="522">
        <f t="shared" si="1"/>
        <v>2811854.058</v>
      </c>
    </row>
    <row r="170" ht="12.75" customHeight="1">
      <c r="A170" s="486">
        <f t="shared" si="2"/>
        <v>168</v>
      </c>
      <c r="B170" s="522">
        <f t="shared" si="3"/>
        <v>2811854.058</v>
      </c>
      <c r="C170" s="522">
        <f>(Payment!$C$6/12)*B170</f>
        <v>6443.832215</v>
      </c>
      <c r="D170" s="522">
        <f>Payment!$C$10-C170</f>
        <v>11600.42798</v>
      </c>
      <c r="E170" s="522">
        <f t="shared" si="1"/>
        <v>2800253.63</v>
      </c>
    </row>
    <row r="171" ht="12.75" customHeight="1">
      <c r="A171" s="486">
        <f t="shared" si="2"/>
        <v>169</v>
      </c>
      <c r="B171" s="522">
        <f t="shared" si="3"/>
        <v>2800253.63</v>
      </c>
      <c r="C171" s="522">
        <f>(Payment!$C$6/12)*B171</f>
        <v>6417.247901</v>
      </c>
      <c r="D171" s="522">
        <f>Payment!$C$10-C171</f>
        <v>11627.0123</v>
      </c>
      <c r="E171" s="522">
        <f t="shared" si="1"/>
        <v>2788626.617</v>
      </c>
    </row>
    <row r="172" ht="12.75" customHeight="1">
      <c r="A172" s="486">
        <f t="shared" si="2"/>
        <v>170</v>
      </c>
      <c r="B172" s="522">
        <f t="shared" si="3"/>
        <v>2788626.617</v>
      </c>
      <c r="C172" s="522">
        <f>(Payment!$C$6/12)*B172</f>
        <v>6390.602665</v>
      </c>
      <c r="D172" s="522">
        <f>Payment!$C$10-C172</f>
        <v>11653.65754</v>
      </c>
      <c r="E172" s="522">
        <f t="shared" si="1"/>
        <v>2776972.96</v>
      </c>
    </row>
    <row r="173" ht="12.75" customHeight="1">
      <c r="A173" s="486">
        <f t="shared" si="2"/>
        <v>171</v>
      </c>
      <c r="B173" s="522">
        <f t="shared" si="3"/>
        <v>2776972.96</v>
      </c>
      <c r="C173" s="522">
        <f>(Payment!$C$6/12)*B173</f>
        <v>6363.896366</v>
      </c>
      <c r="D173" s="522">
        <f>Payment!$C$10-C173</f>
        <v>11680.36383</v>
      </c>
      <c r="E173" s="522">
        <f t="shared" si="1"/>
        <v>2765292.596</v>
      </c>
    </row>
    <row r="174" ht="12.75" customHeight="1">
      <c r="A174" s="486">
        <f t="shared" si="2"/>
        <v>172</v>
      </c>
      <c r="B174" s="522">
        <f t="shared" si="3"/>
        <v>2765292.596</v>
      </c>
      <c r="C174" s="522">
        <f>(Payment!$C$6/12)*B174</f>
        <v>6337.128866</v>
      </c>
      <c r="D174" s="522">
        <f>Payment!$C$10-C174</f>
        <v>11707.13133</v>
      </c>
      <c r="E174" s="522">
        <f t="shared" si="1"/>
        <v>2753585.465</v>
      </c>
    </row>
    <row r="175" ht="12.75" customHeight="1">
      <c r="A175" s="486">
        <f t="shared" si="2"/>
        <v>173</v>
      </c>
      <c r="B175" s="522">
        <f t="shared" si="3"/>
        <v>2753585.465</v>
      </c>
      <c r="C175" s="522">
        <f>(Payment!$C$6/12)*B175</f>
        <v>6310.300023</v>
      </c>
      <c r="D175" s="522">
        <f>Payment!$C$10-C175</f>
        <v>11733.96018</v>
      </c>
      <c r="E175" s="522">
        <f t="shared" si="1"/>
        <v>2741851.504</v>
      </c>
    </row>
    <row r="176" ht="12.75" customHeight="1">
      <c r="A176" s="486">
        <f t="shared" si="2"/>
        <v>174</v>
      </c>
      <c r="B176" s="522">
        <f t="shared" si="3"/>
        <v>2741851.504</v>
      </c>
      <c r="C176" s="522">
        <f>(Payment!$C$6/12)*B176</f>
        <v>6283.409698</v>
      </c>
      <c r="D176" s="522">
        <f>Payment!$C$10-C176</f>
        <v>11760.8505</v>
      </c>
      <c r="E176" s="522">
        <f t="shared" si="1"/>
        <v>2730090.654</v>
      </c>
    </row>
    <row r="177" ht="12.75" customHeight="1">
      <c r="A177" s="486">
        <f t="shared" si="2"/>
        <v>175</v>
      </c>
      <c r="B177" s="522">
        <f t="shared" si="3"/>
        <v>2730090.654</v>
      </c>
      <c r="C177" s="522">
        <f>(Payment!$C$6/12)*B177</f>
        <v>6256.457748</v>
      </c>
      <c r="D177" s="522">
        <f>Payment!$C$10-C177</f>
        <v>11787.80245</v>
      </c>
      <c r="E177" s="522">
        <f t="shared" si="1"/>
        <v>2718302.851</v>
      </c>
    </row>
    <row r="178" ht="12.75" customHeight="1">
      <c r="A178" s="486">
        <f t="shared" si="2"/>
        <v>176</v>
      </c>
      <c r="B178" s="522">
        <f t="shared" si="3"/>
        <v>2718302.851</v>
      </c>
      <c r="C178" s="522">
        <f>(Payment!$C$6/12)*B178</f>
        <v>6229.444035</v>
      </c>
      <c r="D178" s="522">
        <f>Payment!$C$10-C178</f>
        <v>11814.81617</v>
      </c>
      <c r="E178" s="522">
        <f t="shared" si="1"/>
        <v>2706488.035</v>
      </c>
    </row>
    <row r="179" ht="12.75" customHeight="1">
      <c r="A179" s="486">
        <f t="shared" si="2"/>
        <v>177</v>
      </c>
      <c r="B179" s="522">
        <f t="shared" si="3"/>
        <v>2706488.035</v>
      </c>
      <c r="C179" s="522">
        <f>(Payment!$C$6/12)*B179</f>
        <v>6202.368414</v>
      </c>
      <c r="D179" s="522">
        <f>Payment!$C$10-C179</f>
        <v>11841.89179</v>
      </c>
      <c r="E179" s="522">
        <f t="shared" si="1"/>
        <v>2694646.143</v>
      </c>
    </row>
    <row r="180" ht="12.75" customHeight="1">
      <c r="A180" s="486">
        <f t="shared" si="2"/>
        <v>178</v>
      </c>
      <c r="B180" s="522">
        <f t="shared" si="3"/>
        <v>2694646.143</v>
      </c>
      <c r="C180" s="522">
        <f>(Payment!$C$6/12)*B180</f>
        <v>6175.230745</v>
      </c>
      <c r="D180" s="522">
        <f>Payment!$C$10-C180</f>
        <v>11869.02945</v>
      </c>
      <c r="E180" s="522">
        <f t="shared" si="1"/>
        <v>2682777.114</v>
      </c>
    </row>
    <row r="181" ht="12.75" customHeight="1">
      <c r="A181" s="486">
        <f t="shared" si="2"/>
        <v>179</v>
      </c>
      <c r="B181" s="522">
        <f t="shared" si="3"/>
        <v>2682777.114</v>
      </c>
      <c r="C181" s="522">
        <f>(Payment!$C$6/12)*B181</f>
        <v>6148.030886</v>
      </c>
      <c r="D181" s="522">
        <f>Payment!$C$10-C181</f>
        <v>11896.22931</v>
      </c>
      <c r="E181" s="522">
        <f t="shared" si="1"/>
        <v>2670880.885</v>
      </c>
    </row>
    <row r="182" ht="12.75" customHeight="1">
      <c r="A182" s="486">
        <f t="shared" si="2"/>
        <v>180</v>
      </c>
      <c r="B182" s="522">
        <f t="shared" si="3"/>
        <v>2670880.885</v>
      </c>
      <c r="C182" s="522">
        <f>(Payment!$C$6/12)*B182</f>
        <v>6120.768694</v>
      </c>
      <c r="D182" s="522">
        <f>Payment!$C$10-C182</f>
        <v>11923.49151</v>
      </c>
      <c r="E182" s="522">
        <f t="shared" si="1"/>
        <v>2658957.393</v>
      </c>
    </row>
    <row r="183" ht="12.75" customHeight="1">
      <c r="A183" s="486">
        <f t="shared" si="2"/>
        <v>181</v>
      </c>
      <c r="B183" s="522">
        <f t="shared" si="3"/>
        <v>2658957.393</v>
      </c>
      <c r="C183" s="522">
        <f>(Payment!$C$6/12)*B183</f>
        <v>6093.444026</v>
      </c>
      <c r="D183" s="522">
        <f>Payment!$C$10-C183</f>
        <v>11950.81617</v>
      </c>
      <c r="E183" s="522">
        <f t="shared" si="1"/>
        <v>2647006.577</v>
      </c>
    </row>
    <row r="184" ht="12.75" customHeight="1">
      <c r="A184" s="486">
        <f t="shared" si="2"/>
        <v>182</v>
      </c>
      <c r="B184" s="522">
        <f t="shared" si="3"/>
        <v>2647006.577</v>
      </c>
      <c r="C184" s="522">
        <f>(Payment!$C$6/12)*B184</f>
        <v>6066.056739</v>
      </c>
      <c r="D184" s="522">
        <f>Payment!$C$10-C184</f>
        <v>11978.20346</v>
      </c>
      <c r="E184" s="522">
        <f t="shared" si="1"/>
        <v>2635028.374</v>
      </c>
    </row>
    <row r="185" ht="12.75" customHeight="1">
      <c r="A185" s="486">
        <f t="shared" si="2"/>
        <v>183</v>
      </c>
      <c r="B185" s="522">
        <f t="shared" si="3"/>
        <v>2635028.374</v>
      </c>
      <c r="C185" s="522">
        <f>(Payment!$C$6/12)*B185</f>
        <v>6038.606689</v>
      </c>
      <c r="D185" s="522">
        <f>Payment!$C$10-C185</f>
        <v>12005.65351</v>
      </c>
      <c r="E185" s="522">
        <f t="shared" si="1"/>
        <v>2623022.72</v>
      </c>
    </row>
    <row r="186" ht="12.75" customHeight="1">
      <c r="A186" s="486">
        <f t="shared" si="2"/>
        <v>184</v>
      </c>
      <c r="B186" s="522">
        <f t="shared" si="3"/>
        <v>2623022.72</v>
      </c>
      <c r="C186" s="522">
        <f>(Payment!$C$6/12)*B186</f>
        <v>6011.093733</v>
      </c>
      <c r="D186" s="522">
        <f>Payment!$C$10-C186</f>
        <v>12033.16647</v>
      </c>
      <c r="E186" s="522">
        <f t="shared" si="1"/>
        <v>2610989.554</v>
      </c>
    </row>
    <row r="187" ht="12.75" customHeight="1">
      <c r="A187" s="486">
        <f t="shared" si="2"/>
        <v>185</v>
      </c>
      <c r="B187" s="522">
        <f t="shared" si="3"/>
        <v>2610989.554</v>
      </c>
      <c r="C187" s="522">
        <f>(Payment!$C$6/12)*B187</f>
        <v>5983.517727</v>
      </c>
      <c r="D187" s="522">
        <f>Payment!$C$10-C187</f>
        <v>12060.74247</v>
      </c>
      <c r="E187" s="522">
        <f t="shared" si="1"/>
        <v>2598928.811</v>
      </c>
    </row>
    <row r="188" ht="12.75" customHeight="1">
      <c r="A188" s="486">
        <f t="shared" si="2"/>
        <v>186</v>
      </c>
      <c r="B188" s="522">
        <f t="shared" si="3"/>
        <v>2598928.811</v>
      </c>
      <c r="C188" s="522">
        <f>(Payment!$C$6/12)*B188</f>
        <v>5955.878525</v>
      </c>
      <c r="D188" s="522">
        <f>Payment!$C$10-C188</f>
        <v>12088.38167</v>
      </c>
      <c r="E188" s="522">
        <f t="shared" si="1"/>
        <v>2586840.429</v>
      </c>
    </row>
    <row r="189" ht="12.75" customHeight="1">
      <c r="A189" s="486">
        <f t="shared" si="2"/>
        <v>187</v>
      </c>
      <c r="B189" s="522">
        <f t="shared" si="3"/>
        <v>2586840.429</v>
      </c>
      <c r="C189" s="522">
        <f>(Payment!$C$6/12)*B189</f>
        <v>5928.175984</v>
      </c>
      <c r="D189" s="522">
        <f>Payment!$C$10-C189</f>
        <v>12116.08422</v>
      </c>
      <c r="E189" s="522">
        <f t="shared" si="1"/>
        <v>2574724.345</v>
      </c>
    </row>
    <row r="190" ht="12.75" customHeight="1">
      <c r="A190" s="486">
        <f t="shared" si="2"/>
        <v>188</v>
      </c>
      <c r="B190" s="522">
        <f t="shared" si="3"/>
        <v>2574724.345</v>
      </c>
      <c r="C190" s="522">
        <f>(Payment!$C$6/12)*B190</f>
        <v>5900.409958</v>
      </c>
      <c r="D190" s="522">
        <f>Payment!$C$10-C190</f>
        <v>12143.85024</v>
      </c>
      <c r="E190" s="522">
        <f t="shared" si="1"/>
        <v>2562580.495</v>
      </c>
    </row>
    <row r="191" ht="12.75" customHeight="1">
      <c r="A191" s="486">
        <f t="shared" si="2"/>
        <v>189</v>
      </c>
      <c r="B191" s="522">
        <f t="shared" si="3"/>
        <v>2562580.495</v>
      </c>
      <c r="C191" s="522">
        <f>(Payment!$C$6/12)*B191</f>
        <v>5872.580301</v>
      </c>
      <c r="D191" s="522">
        <f>Payment!$C$10-C191</f>
        <v>12171.6799</v>
      </c>
      <c r="E191" s="522">
        <f t="shared" si="1"/>
        <v>2550408.815</v>
      </c>
    </row>
    <row r="192" ht="12.75" customHeight="1">
      <c r="A192" s="486">
        <f t="shared" si="2"/>
        <v>190</v>
      </c>
      <c r="B192" s="522">
        <f t="shared" si="3"/>
        <v>2550408.815</v>
      </c>
      <c r="C192" s="522">
        <f>(Payment!$C$6/12)*B192</f>
        <v>5844.686868</v>
      </c>
      <c r="D192" s="522">
        <f>Payment!$C$10-C192</f>
        <v>12199.57333</v>
      </c>
      <c r="E192" s="522">
        <f t="shared" si="1"/>
        <v>2538209.242</v>
      </c>
    </row>
    <row r="193" ht="12.75" customHeight="1">
      <c r="A193" s="486">
        <f t="shared" si="2"/>
        <v>191</v>
      </c>
      <c r="B193" s="522">
        <f t="shared" si="3"/>
        <v>2538209.242</v>
      </c>
      <c r="C193" s="522">
        <f>(Payment!$C$6/12)*B193</f>
        <v>5816.729512</v>
      </c>
      <c r="D193" s="522">
        <f>Payment!$C$10-C193</f>
        <v>12227.53069</v>
      </c>
      <c r="E193" s="522">
        <f t="shared" si="1"/>
        <v>2525981.711</v>
      </c>
    </row>
    <row r="194" ht="12.75" customHeight="1">
      <c r="A194" s="486">
        <f t="shared" si="2"/>
        <v>192</v>
      </c>
      <c r="B194" s="522">
        <f t="shared" si="3"/>
        <v>2525981.711</v>
      </c>
      <c r="C194" s="522">
        <f>(Payment!$C$6/12)*B194</f>
        <v>5788.708088</v>
      </c>
      <c r="D194" s="522">
        <f>Payment!$C$10-C194</f>
        <v>12255.55211</v>
      </c>
      <c r="E194" s="522">
        <f t="shared" si="1"/>
        <v>2513726.159</v>
      </c>
    </row>
    <row r="195" ht="12.75" customHeight="1">
      <c r="A195" s="486">
        <f t="shared" si="2"/>
        <v>193</v>
      </c>
      <c r="B195" s="522">
        <f t="shared" si="3"/>
        <v>2513726.159</v>
      </c>
      <c r="C195" s="522">
        <f>(Payment!$C$6/12)*B195</f>
        <v>5760.622448</v>
      </c>
      <c r="D195" s="522">
        <f>Payment!$C$10-C195</f>
        <v>12283.63775</v>
      </c>
      <c r="E195" s="522">
        <f t="shared" si="1"/>
        <v>2501442.521</v>
      </c>
    </row>
    <row r="196" ht="12.75" customHeight="1">
      <c r="A196" s="486">
        <f t="shared" si="2"/>
        <v>194</v>
      </c>
      <c r="B196" s="522">
        <f t="shared" si="3"/>
        <v>2501442.521</v>
      </c>
      <c r="C196" s="522">
        <f>(Payment!$C$6/12)*B196</f>
        <v>5732.472444</v>
      </c>
      <c r="D196" s="522">
        <f>Payment!$C$10-C196</f>
        <v>12311.78776</v>
      </c>
      <c r="E196" s="522">
        <f t="shared" si="1"/>
        <v>2489130.733</v>
      </c>
    </row>
    <row r="197" ht="12.75" customHeight="1">
      <c r="A197" s="486">
        <f t="shared" si="2"/>
        <v>195</v>
      </c>
      <c r="B197" s="522">
        <f t="shared" si="3"/>
        <v>2489130.733</v>
      </c>
      <c r="C197" s="522">
        <f>(Payment!$C$6/12)*B197</f>
        <v>5704.257931</v>
      </c>
      <c r="D197" s="522">
        <f>Payment!$C$10-C197</f>
        <v>12340.00227</v>
      </c>
      <c r="E197" s="522">
        <f t="shared" si="1"/>
        <v>2476790.731</v>
      </c>
    </row>
    <row r="198" ht="12.75" customHeight="1">
      <c r="A198" s="486">
        <f t="shared" si="2"/>
        <v>196</v>
      </c>
      <c r="B198" s="522">
        <f t="shared" si="3"/>
        <v>2476790.731</v>
      </c>
      <c r="C198" s="522">
        <f>(Payment!$C$6/12)*B198</f>
        <v>5675.978759</v>
      </c>
      <c r="D198" s="522">
        <f>Payment!$C$10-C198</f>
        <v>12368.28144</v>
      </c>
      <c r="E198" s="522">
        <f t="shared" si="1"/>
        <v>2464422.45</v>
      </c>
    </row>
    <row r="199" ht="12.75" customHeight="1">
      <c r="A199" s="486">
        <f t="shared" si="2"/>
        <v>197</v>
      </c>
      <c r="B199" s="522">
        <f t="shared" si="3"/>
        <v>2464422.45</v>
      </c>
      <c r="C199" s="522">
        <f>(Payment!$C$6/12)*B199</f>
        <v>5647.634781</v>
      </c>
      <c r="D199" s="522">
        <f>Payment!$C$10-C199</f>
        <v>12396.62542</v>
      </c>
      <c r="E199" s="522">
        <f t="shared" si="1"/>
        <v>2452025.824</v>
      </c>
    </row>
    <row r="200" ht="12.75" customHeight="1">
      <c r="A200" s="486">
        <f t="shared" si="2"/>
        <v>198</v>
      </c>
      <c r="B200" s="522">
        <f t="shared" si="3"/>
        <v>2452025.824</v>
      </c>
      <c r="C200" s="522">
        <f>(Payment!$C$6/12)*B200</f>
        <v>5619.225847</v>
      </c>
      <c r="D200" s="522">
        <f>Payment!$C$10-C200</f>
        <v>12425.03435</v>
      </c>
      <c r="E200" s="522">
        <f t="shared" si="1"/>
        <v>2439600.79</v>
      </c>
    </row>
    <row r="201" ht="12.75" customHeight="1">
      <c r="A201" s="486">
        <f t="shared" si="2"/>
        <v>199</v>
      </c>
      <c r="B201" s="522">
        <f t="shared" si="3"/>
        <v>2439600.79</v>
      </c>
      <c r="C201" s="522">
        <f>(Payment!$C$6/12)*B201</f>
        <v>5590.75181</v>
      </c>
      <c r="D201" s="522">
        <f>Payment!$C$10-C201</f>
        <v>12453.50839</v>
      </c>
      <c r="E201" s="522">
        <f t="shared" si="1"/>
        <v>2427147.282</v>
      </c>
    </row>
    <row r="202" ht="12.75" customHeight="1">
      <c r="A202" s="486">
        <f t="shared" si="2"/>
        <v>200</v>
      </c>
      <c r="B202" s="522">
        <f t="shared" si="3"/>
        <v>2427147.282</v>
      </c>
      <c r="C202" s="522">
        <f>(Payment!$C$6/12)*B202</f>
        <v>5562.21252</v>
      </c>
      <c r="D202" s="522">
        <f>Payment!$C$10-C202</f>
        <v>12482.04768</v>
      </c>
      <c r="E202" s="522">
        <f t="shared" si="1"/>
        <v>2414665.234</v>
      </c>
    </row>
    <row r="203" ht="12.75" customHeight="1">
      <c r="A203" s="486">
        <f t="shared" si="2"/>
        <v>201</v>
      </c>
      <c r="B203" s="522">
        <f t="shared" si="3"/>
        <v>2414665.234</v>
      </c>
      <c r="C203" s="522">
        <f>(Payment!$C$6/12)*B203</f>
        <v>5533.607828</v>
      </c>
      <c r="D203" s="522">
        <f>Payment!$C$10-C203</f>
        <v>12510.65237</v>
      </c>
      <c r="E203" s="522">
        <f t="shared" si="1"/>
        <v>2402154.582</v>
      </c>
    </row>
    <row r="204" ht="12.75" customHeight="1">
      <c r="A204" s="486">
        <f t="shared" si="2"/>
        <v>202</v>
      </c>
      <c r="B204" s="522">
        <f t="shared" si="3"/>
        <v>2402154.582</v>
      </c>
      <c r="C204" s="522">
        <f>(Payment!$C$6/12)*B204</f>
        <v>5504.937583</v>
      </c>
      <c r="D204" s="522">
        <f>Payment!$C$10-C204</f>
        <v>12539.32262</v>
      </c>
      <c r="E204" s="522">
        <f t="shared" si="1"/>
        <v>2389615.259</v>
      </c>
    </row>
    <row r="205" ht="12.75" customHeight="1">
      <c r="A205" s="486">
        <f t="shared" si="2"/>
        <v>203</v>
      </c>
      <c r="B205" s="522">
        <f t="shared" si="3"/>
        <v>2389615.259</v>
      </c>
      <c r="C205" s="522">
        <f>(Payment!$C$6/12)*B205</f>
        <v>5476.201635</v>
      </c>
      <c r="D205" s="522">
        <f>Payment!$C$10-C205</f>
        <v>12568.05857</v>
      </c>
      <c r="E205" s="522">
        <f t="shared" si="1"/>
        <v>2377047.2</v>
      </c>
    </row>
    <row r="206" ht="12.75" customHeight="1">
      <c r="A206" s="486">
        <f t="shared" si="2"/>
        <v>204</v>
      </c>
      <c r="B206" s="522">
        <f t="shared" si="3"/>
        <v>2377047.2</v>
      </c>
      <c r="C206" s="522">
        <f>(Payment!$C$6/12)*B206</f>
        <v>5447.399834</v>
      </c>
      <c r="D206" s="522">
        <f>Payment!$C$10-C206</f>
        <v>12596.86037</v>
      </c>
      <c r="E206" s="522">
        <f t="shared" si="1"/>
        <v>2364450.34</v>
      </c>
    </row>
    <row r="207" ht="12.75" customHeight="1">
      <c r="A207" s="486">
        <f t="shared" si="2"/>
        <v>205</v>
      </c>
      <c r="B207" s="522">
        <f t="shared" si="3"/>
        <v>2364450.34</v>
      </c>
      <c r="C207" s="522">
        <f>(Payment!$C$6/12)*B207</f>
        <v>5418.532029</v>
      </c>
      <c r="D207" s="522">
        <f>Payment!$C$10-C207</f>
        <v>12625.72817</v>
      </c>
      <c r="E207" s="522">
        <f t="shared" si="1"/>
        <v>2351824.612</v>
      </c>
    </row>
    <row r="208" ht="12.75" customHeight="1">
      <c r="A208" s="486">
        <f t="shared" si="2"/>
        <v>206</v>
      </c>
      <c r="B208" s="522">
        <f t="shared" si="3"/>
        <v>2351824.612</v>
      </c>
      <c r="C208" s="522">
        <f>(Payment!$C$6/12)*B208</f>
        <v>5389.598069</v>
      </c>
      <c r="D208" s="522">
        <f>Payment!$C$10-C208</f>
        <v>12654.66213</v>
      </c>
      <c r="E208" s="522">
        <f t="shared" si="1"/>
        <v>2339169.95</v>
      </c>
    </row>
    <row r="209" ht="12.75" customHeight="1">
      <c r="A209" s="486">
        <f t="shared" si="2"/>
        <v>207</v>
      </c>
      <c r="B209" s="522">
        <f t="shared" si="3"/>
        <v>2339169.95</v>
      </c>
      <c r="C209" s="522">
        <f>(Payment!$C$6/12)*B209</f>
        <v>5360.597801</v>
      </c>
      <c r="D209" s="522">
        <f>Payment!$C$10-C209</f>
        <v>12683.6624</v>
      </c>
      <c r="E209" s="522">
        <f t="shared" si="1"/>
        <v>2326486.287</v>
      </c>
    </row>
    <row r="210" ht="12.75" customHeight="1">
      <c r="A210" s="486">
        <f t="shared" si="2"/>
        <v>208</v>
      </c>
      <c r="B210" s="522">
        <f t="shared" si="3"/>
        <v>2326486.287</v>
      </c>
      <c r="C210" s="522">
        <f>(Payment!$C$6/12)*B210</f>
        <v>5331.531075</v>
      </c>
      <c r="D210" s="522">
        <f>Payment!$C$10-C210</f>
        <v>12712.72913</v>
      </c>
      <c r="E210" s="522">
        <f t="shared" si="1"/>
        <v>2313773.558</v>
      </c>
    </row>
    <row r="211" ht="12.75" customHeight="1">
      <c r="A211" s="486">
        <f t="shared" si="2"/>
        <v>209</v>
      </c>
      <c r="B211" s="522">
        <f t="shared" si="3"/>
        <v>2313773.558</v>
      </c>
      <c r="C211" s="522">
        <f>(Payment!$C$6/12)*B211</f>
        <v>5302.397737</v>
      </c>
      <c r="D211" s="522">
        <f>Payment!$C$10-C211</f>
        <v>12741.86246</v>
      </c>
      <c r="E211" s="522">
        <f t="shared" si="1"/>
        <v>2301031.696</v>
      </c>
    </row>
    <row r="212" ht="12.75" customHeight="1">
      <c r="A212" s="486">
        <f t="shared" si="2"/>
        <v>210</v>
      </c>
      <c r="B212" s="522">
        <f t="shared" si="3"/>
        <v>2301031.696</v>
      </c>
      <c r="C212" s="522">
        <f>(Payment!$C$6/12)*B212</f>
        <v>5273.197636</v>
      </c>
      <c r="D212" s="522">
        <f>Payment!$C$10-C212</f>
        <v>12771.06256</v>
      </c>
      <c r="E212" s="522">
        <f t="shared" si="1"/>
        <v>2288260.633</v>
      </c>
    </row>
    <row r="213" ht="12.75" customHeight="1">
      <c r="A213" s="486">
        <f t="shared" si="2"/>
        <v>211</v>
      </c>
      <c r="B213" s="522">
        <f t="shared" si="3"/>
        <v>2288260.633</v>
      </c>
      <c r="C213" s="522">
        <f>(Payment!$C$6/12)*B213</f>
        <v>5243.930618</v>
      </c>
      <c r="D213" s="522">
        <f>Payment!$C$10-C213</f>
        <v>12800.32958</v>
      </c>
      <c r="E213" s="522">
        <f t="shared" si="1"/>
        <v>2275460.304</v>
      </c>
    </row>
    <row r="214" ht="12.75" customHeight="1">
      <c r="A214" s="486">
        <f t="shared" si="2"/>
        <v>212</v>
      </c>
      <c r="B214" s="522">
        <f t="shared" si="3"/>
        <v>2275460.304</v>
      </c>
      <c r="C214" s="522">
        <f>(Payment!$C$6/12)*B214</f>
        <v>5214.596529</v>
      </c>
      <c r="D214" s="522">
        <f>Payment!$C$10-C214</f>
        <v>12829.66367</v>
      </c>
      <c r="E214" s="522">
        <f t="shared" si="1"/>
        <v>2262630.64</v>
      </c>
    </row>
    <row r="215" ht="12.75" customHeight="1">
      <c r="A215" s="486">
        <f t="shared" si="2"/>
        <v>213</v>
      </c>
      <c r="B215" s="522">
        <f t="shared" si="3"/>
        <v>2262630.64</v>
      </c>
      <c r="C215" s="522">
        <f>(Payment!$C$6/12)*B215</f>
        <v>5185.195216</v>
      </c>
      <c r="D215" s="522">
        <f>Payment!$C$10-C215</f>
        <v>12859.06498</v>
      </c>
      <c r="E215" s="522">
        <f t="shared" si="1"/>
        <v>2249771.575</v>
      </c>
    </row>
    <row r="216" ht="12.75" customHeight="1">
      <c r="A216" s="486">
        <f t="shared" si="2"/>
        <v>214</v>
      </c>
      <c r="B216" s="522">
        <f t="shared" si="3"/>
        <v>2249771.575</v>
      </c>
      <c r="C216" s="522">
        <f>(Payment!$C$6/12)*B216</f>
        <v>5155.726526</v>
      </c>
      <c r="D216" s="522">
        <f>Payment!$C$10-C216</f>
        <v>12888.53367</v>
      </c>
      <c r="E216" s="522">
        <f t="shared" si="1"/>
        <v>2236883.041</v>
      </c>
    </row>
    <row r="217" ht="12.75" customHeight="1">
      <c r="A217" s="486">
        <f t="shared" si="2"/>
        <v>215</v>
      </c>
      <c r="B217" s="522">
        <f t="shared" si="3"/>
        <v>2236883.041</v>
      </c>
      <c r="C217" s="522">
        <f>(Payment!$C$6/12)*B217</f>
        <v>5126.190303</v>
      </c>
      <c r="D217" s="522">
        <f>Payment!$C$10-C217</f>
        <v>12918.0699</v>
      </c>
      <c r="E217" s="522">
        <f t="shared" si="1"/>
        <v>2223964.971</v>
      </c>
    </row>
    <row r="218" ht="12.75" customHeight="1">
      <c r="A218" s="486">
        <f t="shared" si="2"/>
        <v>216</v>
      </c>
      <c r="B218" s="522">
        <f t="shared" si="3"/>
        <v>2223964.971</v>
      </c>
      <c r="C218" s="522">
        <f>(Payment!$C$6/12)*B218</f>
        <v>5096.586393</v>
      </c>
      <c r="D218" s="522">
        <f>Payment!$C$10-C218</f>
        <v>12947.67381</v>
      </c>
      <c r="E218" s="522">
        <f t="shared" si="1"/>
        <v>2211017.297</v>
      </c>
    </row>
    <row r="219" ht="12.75" customHeight="1">
      <c r="A219" s="486">
        <f t="shared" si="2"/>
        <v>217</v>
      </c>
      <c r="B219" s="522">
        <f t="shared" si="3"/>
        <v>2211017.297</v>
      </c>
      <c r="C219" s="522">
        <f>(Payment!$C$6/12)*B219</f>
        <v>5066.91464</v>
      </c>
      <c r="D219" s="522">
        <f>Payment!$C$10-C219</f>
        <v>12977.34556</v>
      </c>
      <c r="E219" s="522">
        <f t="shared" si="1"/>
        <v>2198039.952</v>
      </c>
    </row>
    <row r="220" ht="12.75" customHeight="1">
      <c r="A220" s="486">
        <f t="shared" si="2"/>
        <v>218</v>
      </c>
      <c r="B220" s="522">
        <f t="shared" si="3"/>
        <v>2198039.952</v>
      </c>
      <c r="C220" s="522">
        <f>(Payment!$C$6/12)*B220</f>
        <v>5037.17489</v>
      </c>
      <c r="D220" s="522">
        <f>Payment!$C$10-C220</f>
        <v>13007.08531</v>
      </c>
      <c r="E220" s="522">
        <f t="shared" si="1"/>
        <v>2185032.867</v>
      </c>
    </row>
    <row r="221" ht="12.75" customHeight="1">
      <c r="A221" s="486">
        <f t="shared" si="2"/>
        <v>219</v>
      </c>
      <c r="B221" s="522">
        <f t="shared" si="3"/>
        <v>2185032.867</v>
      </c>
      <c r="C221" s="522">
        <f>(Payment!$C$6/12)*B221</f>
        <v>5007.366986</v>
      </c>
      <c r="D221" s="522">
        <f>Payment!$C$10-C221</f>
        <v>13036.89321</v>
      </c>
      <c r="E221" s="522">
        <f t="shared" si="1"/>
        <v>2171995.973</v>
      </c>
    </row>
    <row r="222" ht="12.75" customHeight="1">
      <c r="A222" s="486">
        <f t="shared" si="2"/>
        <v>220</v>
      </c>
      <c r="B222" s="522">
        <f t="shared" si="3"/>
        <v>2171995.973</v>
      </c>
      <c r="C222" s="522">
        <f>(Payment!$C$6/12)*B222</f>
        <v>4977.490772</v>
      </c>
      <c r="D222" s="522">
        <f>Payment!$C$10-C222</f>
        <v>13066.76943</v>
      </c>
      <c r="E222" s="522">
        <f t="shared" si="1"/>
        <v>2158929.204</v>
      </c>
    </row>
    <row r="223" ht="12.75" customHeight="1">
      <c r="A223" s="486">
        <f t="shared" si="2"/>
        <v>221</v>
      </c>
      <c r="B223" s="522">
        <f t="shared" si="3"/>
        <v>2158929.204</v>
      </c>
      <c r="C223" s="522">
        <f>(Payment!$C$6/12)*B223</f>
        <v>4947.546092</v>
      </c>
      <c r="D223" s="522">
        <f>Payment!$C$10-C223</f>
        <v>13096.71411</v>
      </c>
      <c r="E223" s="522">
        <f t="shared" si="1"/>
        <v>2145832.49</v>
      </c>
    </row>
    <row r="224" ht="12.75" customHeight="1">
      <c r="A224" s="486">
        <f t="shared" si="2"/>
        <v>222</v>
      </c>
      <c r="B224" s="522">
        <f t="shared" si="3"/>
        <v>2145832.49</v>
      </c>
      <c r="C224" s="522">
        <f>(Payment!$C$6/12)*B224</f>
        <v>4917.532789</v>
      </c>
      <c r="D224" s="522">
        <f>Payment!$C$10-C224</f>
        <v>13126.72741</v>
      </c>
      <c r="E224" s="522">
        <f t="shared" si="1"/>
        <v>2132705.762</v>
      </c>
    </row>
    <row r="225" ht="12.75" customHeight="1">
      <c r="A225" s="486">
        <f t="shared" si="2"/>
        <v>223</v>
      </c>
      <c r="B225" s="522">
        <f t="shared" si="3"/>
        <v>2132705.762</v>
      </c>
      <c r="C225" s="522">
        <f>(Payment!$C$6/12)*B225</f>
        <v>4887.450706</v>
      </c>
      <c r="D225" s="522">
        <f>Payment!$C$10-C225</f>
        <v>13156.80949</v>
      </c>
      <c r="E225" s="522">
        <f t="shared" si="1"/>
        <v>2119548.953</v>
      </c>
    </row>
    <row r="226" ht="12.75" customHeight="1">
      <c r="A226" s="486">
        <f t="shared" si="2"/>
        <v>224</v>
      </c>
      <c r="B226" s="522">
        <f t="shared" si="3"/>
        <v>2119548.953</v>
      </c>
      <c r="C226" s="522">
        <f>(Payment!$C$6/12)*B226</f>
        <v>4857.299684</v>
      </c>
      <c r="D226" s="522">
        <f>Payment!$C$10-C226</f>
        <v>13186.96052</v>
      </c>
      <c r="E226" s="522">
        <f t="shared" si="1"/>
        <v>2106361.992</v>
      </c>
    </row>
    <row r="227" ht="12.75" customHeight="1">
      <c r="A227" s="486">
        <f t="shared" si="2"/>
        <v>225</v>
      </c>
      <c r="B227" s="522">
        <f t="shared" si="3"/>
        <v>2106361.992</v>
      </c>
      <c r="C227" s="522">
        <f>(Payment!$C$6/12)*B227</f>
        <v>4827.079566</v>
      </c>
      <c r="D227" s="522">
        <f>Payment!$C$10-C227</f>
        <v>13217.18063</v>
      </c>
      <c r="E227" s="522">
        <f t="shared" si="1"/>
        <v>2093144.812</v>
      </c>
    </row>
    <row r="228" ht="12.75" customHeight="1">
      <c r="A228" s="486">
        <f t="shared" si="2"/>
        <v>226</v>
      </c>
      <c r="B228" s="522">
        <f t="shared" si="3"/>
        <v>2093144.812</v>
      </c>
      <c r="C228" s="522">
        <f>(Payment!$C$6/12)*B228</f>
        <v>4796.790194</v>
      </c>
      <c r="D228" s="522">
        <f>Payment!$C$10-C228</f>
        <v>13247.47001</v>
      </c>
      <c r="E228" s="522">
        <f t="shared" si="1"/>
        <v>2079897.342</v>
      </c>
    </row>
    <row r="229" ht="12.75" customHeight="1">
      <c r="A229" s="486">
        <f t="shared" si="2"/>
        <v>227</v>
      </c>
      <c r="B229" s="522">
        <f t="shared" si="3"/>
        <v>2079897.342</v>
      </c>
      <c r="C229" s="522">
        <f>(Payment!$C$6/12)*B229</f>
        <v>4766.431408</v>
      </c>
      <c r="D229" s="522">
        <f>Payment!$C$10-C229</f>
        <v>13277.82879</v>
      </c>
      <c r="E229" s="522">
        <f t="shared" si="1"/>
        <v>2066619.513</v>
      </c>
    </row>
    <row r="230" ht="12.75" customHeight="1">
      <c r="A230" s="486">
        <f t="shared" si="2"/>
        <v>228</v>
      </c>
      <c r="B230" s="522">
        <f t="shared" si="3"/>
        <v>2066619.513</v>
      </c>
      <c r="C230" s="522">
        <f>(Payment!$C$6/12)*B230</f>
        <v>4736.003051</v>
      </c>
      <c r="D230" s="522">
        <f>Payment!$C$10-C230</f>
        <v>13308.25715</v>
      </c>
      <c r="E230" s="522">
        <f t="shared" si="1"/>
        <v>2053311.256</v>
      </c>
    </row>
    <row r="231" ht="12.75" customHeight="1">
      <c r="A231" s="486">
        <f t="shared" si="2"/>
        <v>229</v>
      </c>
      <c r="B231" s="522">
        <f t="shared" si="3"/>
        <v>2053311.256</v>
      </c>
      <c r="C231" s="522">
        <f>(Payment!$C$6/12)*B231</f>
        <v>4705.504961</v>
      </c>
      <c r="D231" s="522">
        <f>Payment!$C$10-C231</f>
        <v>13338.75524</v>
      </c>
      <c r="E231" s="522">
        <f t="shared" si="1"/>
        <v>2039972.501</v>
      </c>
    </row>
    <row r="232" ht="12.75" customHeight="1">
      <c r="A232" s="486">
        <f t="shared" si="2"/>
        <v>230</v>
      </c>
      <c r="B232" s="522">
        <f t="shared" si="3"/>
        <v>2039972.501</v>
      </c>
      <c r="C232" s="522">
        <f>(Payment!$C$6/12)*B232</f>
        <v>4674.936981</v>
      </c>
      <c r="D232" s="522">
        <f>Payment!$C$10-C232</f>
        <v>13369.32322</v>
      </c>
      <c r="E232" s="522">
        <f t="shared" si="1"/>
        <v>2026603.177</v>
      </c>
    </row>
    <row r="233" ht="12.75" customHeight="1">
      <c r="A233" s="486">
        <f t="shared" si="2"/>
        <v>231</v>
      </c>
      <c r="B233" s="522">
        <f t="shared" si="3"/>
        <v>2026603.177</v>
      </c>
      <c r="C233" s="522">
        <f>(Payment!$C$6/12)*B233</f>
        <v>4644.298948</v>
      </c>
      <c r="D233" s="522">
        <f>Payment!$C$10-C233</f>
        <v>13399.96125</v>
      </c>
      <c r="E233" s="522">
        <f t="shared" si="1"/>
        <v>2013203.216</v>
      </c>
    </row>
    <row r="234" ht="12.75" customHeight="1">
      <c r="A234" s="486">
        <f t="shared" si="2"/>
        <v>232</v>
      </c>
      <c r="B234" s="522">
        <f t="shared" si="3"/>
        <v>2013203.216</v>
      </c>
      <c r="C234" s="522">
        <f>(Payment!$C$6/12)*B234</f>
        <v>4613.590704</v>
      </c>
      <c r="D234" s="522">
        <f>Payment!$C$10-C234</f>
        <v>13430.6695</v>
      </c>
      <c r="E234" s="522">
        <f t="shared" si="1"/>
        <v>1999772.547</v>
      </c>
    </row>
    <row r="235" ht="12.75" customHeight="1">
      <c r="A235" s="486">
        <f t="shared" si="2"/>
        <v>233</v>
      </c>
      <c r="B235" s="522">
        <f t="shared" si="3"/>
        <v>1999772.547</v>
      </c>
      <c r="C235" s="522">
        <f>(Payment!$C$6/12)*B235</f>
        <v>4582.812086</v>
      </c>
      <c r="D235" s="522">
        <f>Payment!$C$10-C235</f>
        <v>13461.44811</v>
      </c>
      <c r="E235" s="522">
        <f t="shared" si="1"/>
        <v>1986311.099</v>
      </c>
    </row>
    <row r="236" ht="12.75" customHeight="1">
      <c r="A236" s="486">
        <f t="shared" si="2"/>
        <v>234</v>
      </c>
      <c r="B236" s="522">
        <f t="shared" si="3"/>
        <v>1986311.099</v>
      </c>
      <c r="C236" s="522">
        <f>(Payment!$C$6/12)*B236</f>
        <v>4551.962934</v>
      </c>
      <c r="D236" s="522">
        <f>Payment!$C$10-C236</f>
        <v>13492.29727</v>
      </c>
      <c r="E236" s="522">
        <f t="shared" si="1"/>
        <v>1972818.801</v>
      </c>
    </row>
    <row r="237" ht="12.75" customHeight="1">
      <c r="A237" s="486">
        <f t="shared" si="2"/>
        <v>235</v>
      </c>
      <c r="B237" s="522">
        <f t="shared" si="3"/>
        <v>1972818.801</v>
      </c>
      <c r="C237" s="522">
        <f>(Payment!$C$6/12)*B237</f>
        <v>4521.043086</v>
      </c>
      <c r="D237" s="522">
        <f>Payment!$C$10-C237</f>
        <v>13523.21711</v>
      </c>
      <c r="E237" s="522">
        <f t="shared" si="1"/>
        <v>1959295.584</v>
      </c>
    </row>
    <row r="238" ht="12.75" customHeight="1">
      <c r="A238" s="486">
        <f t="shared" si="2"/>
        <v>236</v>
      </c>
      <c r="B238" s="522">
        <f t="shared" si="3"/>
        <v>1959295.584</v>
      </c>
      <c r="C238" s="522">
        <f>(Payment!$C$6/12)*B238</f>
        <v>4490.05238</v>
      </c>
      <c r="D238" s="522">
        <f>Payment!$C$10-C238</f>
        <v>13554.20782</v>
      </c>
      <c r="E238" s="522">
        <f t="shared" si="1"/>
        <v>1945741.376</v>
      </c>
    </row>
    <row r="239" ht="12.75" customHeight="1">
      <c r="A239" s="486">
        <f t="shared" si="2"/>
        <v>237</v>
      </c>
      <c r="B239" s="522">
        <f t="shared" si="3"/>
        <v>1945741.376</v>
      </c>
      <c r="C239" s="522">
        <f>(Payment!$C$6/12)*B239</f>
        <v>4458.990654</v>
      </c>
      <c r="D239" s="522">
        <f>Payment!$C$10-C239</f>
        <v>13585.26955</v>
      </c>
      <c r="E239" s="522">
        <f t="shared" si="1"/>
        <v>1932156.107</v>
      </c>
    </row>
    <row r="240" ht="12.75" customHeight="1">
      <c r="A240" s="486">
        <f t="shared" si="2"/>
        <v>238</v>
      </c>
      <c r="B240" s="522">
        <f t="shared" si="3"/>
        <v>1932156.107</v>
      </c>
      <c r="C240" s="522">
        <f>(Payment!$C$6/12)*B240</f>
        <v>4427.857745</v>
      </c>
      <c r="D240" s="522">
        <f>Payment!$C$10-C240</f>
        <v>13616.40246</v>
      </c>
      <c r="E240" s="522">
        <f t="shared" si="1"/>
        <v>1918539.704</v>
      </c>
    </row>
    <row r="241" ht="12.75" customHeight="1">
      <c r="A241" s="486">
        <f t="shared" si="2"/>
        <v>239</v>
      </c>
      <c r="B241" s="522">
        <f t="shared" si="3"/>
        <v>1918539.704</v>
      </c>
      <c r="C241" s="522">
        <f>(Payment!$C$6/12)*B241</f>
        <v>4396.653489</v>
      </c>
      <c r="D241" s="522">
        <f>Payment!$C$10-C241</f>
        <v>13647.60671</v>
      </c>
      <c r="E241" s="522">
        <f t="shared" si="1"/>
        <v>1904892.098</v>
      </c>
    </row>
    <row r="242" ht="12.75" customHeight="1">
      <c r="A242" s="486">
        <f t="shared" si="2"/>
        <v>240</v>
      </c>
      <c r="B242" s="522">
        <f t="shared" si="3"/>
        <v>1904892.098</v>
      </c>
      <c r="C242" s="522">
        <f>(Payment!$C$6/12)*B242</f>
        <v>4365.377724</v>
      </c>
      <c r="D242" s="522">
        <f>Payment!$C$10-C242</f>
        <v>13678.88248</v>
      </c>
      <c r="E242" s="522">
        <f t="shared" si="1"/>
        <v>1891213.215</v>
      </c>
    </row>
    <row r="243" ht="12.75" customHeight="1">
      <c r="A243" s="486">
        <f t="shared" si="2"/>
        <v>241</v>
      </c>
      <c r="B243" s="522">
        <f t="shared" si="3"/>
        <v>1891213.215</v>
      </c>
      <c r="C243" s="522">
        <f>(Payment!$C$6/12)*B243</f>
        <v>4334.030285</v>
      </c>
      <c r="D243" s="522">
        <f>Payment!$C$10-C243</f>
        <v>13710.22992</v>
      </c>
      <c r="E243" s="522">
        <f t="shared" si="1"/>
        <v>1877502.985</v>
      </c>
    </row>
    <row r="244" ht="12.75" customHeight="1">
      <c r="A244" s="486">
        <f t="shared" si="2"/>
        <v>242</v>
      </c>
      <c r="B244" s="522">
        <f t="shared" si="3"/>
        <v>1877502.985</v>
      </c>
      <c r="C244" s="522">
        <f>(Payment!$C$6/12)*B244</f>
        <v>4302.611008</v>
      </c>
      <c r="D244" s="522">
        <f>Payment!$C$10-C244</f>
        <v>13741.64919</v>
      </c>
      <c r="E244" s="522">
        <f t="shared" si="1"/>
        <v>1863761.336</v>
      </c>
    </row>
    <row r="245" ht="12.75" customHeight="1">
      <c r="A245" s="486">
        <f t="shared" si="2"/>
        <v>243</v>
      </c>
      <c r="B245" s="522">
        <f t="shared" si="3"/>
        <v>1863761.336</v>
      </c>
      <c r="C245" s="522">
        <f>(Payment!$C$6/12)*B245</f>
        <v>4271.119728</v>
      </c>
      <c r="D245" s="522">
        <f>Payment!$C$10-C245</f>
        <v>13773.14047</v>
      </c>
      <c r="E245" s="522">
        <f t="shared" si="1"/>
        <v>1849988.196</v>
      </c>
    </row>
    <row r="246" ht="12.75" customHeight="1">
      <c r="A246" s="486">
        <f t="shared" si="2"/>
        <v>244</v>
      </c>
      <c r="B246" s="522">
        <f t="shared" si="3"/>
        <v>1849988.196</v>
      </c>
      <c r="C246" s="522">
        <f>(Payment!$C$6/12)*B246</f>
        <v>4239.556282</v>
      </c>
      <c r="D246" s="522">
        <f>Payment!$C$10-C246</f>
        <v>13804.70392</v>
      </c>
      <c r="E246" s="522">
        <f t="shared" si="1"/>
        <v>1836183.492</v>
      </c>
    </row>
    <row r="247" ht="12.75" customHeight="1">
      <c r="A247" s="486">
        <f t="shared" si="2"/>
        <v>245</v>
      </c>
      <c r="B247" s="522">
        <f t="shared" si="3"/>
        <v>1836183.492</v>
      </c>
      <c r="C247" s="522">
        <f>(Payment!$C$6/12)*B247</f>
        <v>4207.920502</v>
      </c>
      <c r="D247" s="522">
        <f>Payment!$C$10-C247</f>
        <v>13836.3397</v>
      </c>
      <c r="E247" s="522">
        <f t="shared" si="1"/>
        <v>1822347.152</v>
      </c>
    </row>
    <row r="248" ht="12.75" customHeight="1">
      <c r="A248" s="486">
        <f t="shared" si="2"/>
        <v>246</v>
      </c>
      <c r="B248" s="522">
        <f t="shared" si="3"/>
        <v>1822347.152</v>
      </c>
      <c r="C248" s="522">
        <f>(Payment!$C$6/12)*B248</f>
        <v>4176.212223</v>
      </c>
      <c r="D248" s="522">
        <f>Payment!$C$10-C248</f>
        <v>13868.04798</v>
      </c>
      <c r="E248" s="522">
        <f t="shared" si="1"/>
        <v>1808479.104</v>
      </c>
    </row>
    <row r="249" ht="12.75" customHeight="1">
      <c r="A249" s="486">
        <f t="shared" si="2"/>
        <v>247</v>
      </c>
      <c r="B249" s="522">
        <f t="shared" si="3"/>
        <v>1808479.104</v>
      </c>
      <c r="C249" s="522">
        <f>(Payment!$C$6/12)*B249</f>
        <v>4144.43128</v>
      </c>
      <c r="D249" s="522">
        <f>Payment!$C$10-C249</f>
        <v>13899.82892</v>
      </c>
      <c r="E249" s="522">
        <f t="shared" si="1"/>
        <v>1794579.275</v>
      </c>
    </row>
    <row r="250" ht="12.75" customHeight="1">
      <c r="A250" s="486">
        <f t="shared" si="2"/>
        <v>248</v>
      </c>
      <c r="B250" s="522">
        <f t="shared" si="3"/>
        <v>1794579.275</v>
      </c>
      <c r="C250" s="522">
        <f>(Payment!$C$6/12)*B250</f>
        <v>4112.577505</v>
      </c>
      <c r="D250" s="522">
        <f>Payment!$C$10-C250</f>
        <v>13931.68269</v>
      </c>
      <c r="E250" s="522">
        <f t="shared" si="1"/>
        <v>1780647.592</v>
      </c>
    </row>
    <row r="251" ht="12.75" customHeight="1">
      <c r="A251" s="486">
        <f t="shared" si="2"/>
        <v>249</v>
      </c>
      <c r="B251" s="522">
        <f t="shared" si="3"/>
        <v>1780647.592</v>
      </c>
      <c r="C251" s="522">
        <f>(Payment!$C$6/12)*B251</f>
        <v>4080.650733</v>
      </c>
      <c r="D251" s="522">
        <f>Payment!$C$10-C251</f>
        <v>13963.60947</v>
      </c>
      <c r="E251" s="522">
        <f t="shared" si="1"/>
        <v>1766683.983</v>
      </c>
    </row>
    <row r="252" ht="12.75" customHeight="1">
      <c r="A252" s="486">
        <f t="shared" si="2"/>
        <v>250</v>
      </c>
      <c r="B252" s="522">
        <f t="shared" si="3"/>
        <v>1766683.983</v>
      </c>
      <c r="C252" s="522">
        <f>(Payment!$C$6/12)*B252</f>
        <v>4048.650794</v>
      </c>
      <c r="D252" s="522">
        <f>Payment!$C$10-C252</f>
        <v>13995.60941</v>
      </c>
      <c r="E252" s="522">
        <f t="shared" si="1"/>
        <v>1752688.373</v>
      </c>
    </row>
    <row r="253" ht="12.75" customHeight="1">
      <c r="A253" s="486">
        <f t="shared" si="2"/>
        <v>251</v>
      </c>
      <c r="B253" s="522">
        <f t="shared" si="3"/>
        <v>1752688.373</v>
      </c>
      <c r="C253" s="522">
        <f>(Payment!$C$6/12)*B253</f>
        <v>4016.577523</v>
      </c>
      <c r="D253" s="522">
        <f>Payment!$C$10-C253</f>
        <v>14027.68268</v>
      </c>
      <c r="E253" s="522">
        <f t="shared" si="1"/>
        <v>1738660.691</v>
      </c>
    </row>
    <row r="254" ht="12.75" customHeight="1">
      <c r="A254" s="486">
        <f t="shared" si="2"/>
        <v>252</v>
      </c>
      <c r="B254" s="522">
        <f t="shared" si="3"/>
        <v>1738660.691</v>
      </c>
      <c r="C254" s="522">
        <f>(Payment!$C$6/12)*B254</f>
        <v>3984.43075</v>
      </c>
      <c r="D254" s="522">
        <f>Payment!$C$10-C254</f>
        <v>14059.82945</v>
      </c>
      <c r="E254" s="522">
        <f t="shared" si="1"/>
        <v>1724600.861</v>
      </c>
    </row>
    <row r="255" ht="12.75" customHeight="1">
      <c r="A255" s="486">
        <f t="shared" si="2"/>
        <v>253</v>
      </c>
      <c r="B255" s="522">
        <f t="shared" si="3"/>
        <v>1724600.861</v>
      </c>
      <c r="C255" s="522">
        <f>(Payment!$C$6/12)*B255</f>
        <v>3952.210307</v>
      </c>
      <c r="D255" s="522">
        <f>Payment!$C$10-C255</f>
        <v>14092.04989</v>
      </c>
      <c r="E255" s="522">
        <f t="shared" si="1"/>
        <v>1710508.811</v>
      </c>
    </row>
    <row r="256" ht="12.75" customHeight="1">
      <c r="A256" s="486">
        <f t="shared" si="2"/>
        <v>254</v>
      </c>
      <c r="B256" s="522">
        <f t="shared" si="3"/>
        <v>1710508.811</v>
      </c>
      <c r="C256" s="522">
        <f>(Payment!$C$6/12)*B256</f>
        <v>3919.916026</v>
      </c>
      <c r="D256" s="522">
        <f>Payment!$C$10-C256</f>
        <v>14124.34417</v>
      </c>
      <c r="E256" s="522">
        <f t="shared" si="1"/>
        <v>1696384.467</v>
      </c>
    </row>
    <row r="257" ht="12.75" customHeight="1">
      <c r="A257" s="486">
        <f t="shared" si="2"/>
        <v>255</v>
      </c>
      <c r="B257" s="522">
        <f t="shared" si="3"/>
        <v>1696384.467</v>
      </c>
      <c r="C257" s="522">
        <f>(Payment!$C$6/12)*B257</f>
        <v>3887.547738</v>
      </c>
      <c r="D257" s="522">
        <f>Payment!$C$10-C257</f>
        <v>14156.71246</v>
      </c>
      <c r="E257" s="522">
        <f t="shared" si="1"/>
        <v>1682227.755</v>
      </c>
    </row>
    <row r="258" ht="12.75" customHeight="1">
      <c r="A258" s="486">
        <f t="shared" si="2"/>
        <v>256</v>
      </c>
      <c r="B258" s="522">
        <f t="shared" si="3"/>
        <v>1682227.755</v>
      </c>
      <c r="C258" s="522">
        <f>(Payment!$C$6/12)*B258</f>
        <v>3855.105272</v>
      </c>
      <c r="D258" s="522">
        <f>Payment!$C$10-C258</f>
        <v>14189.15493</v>
      </c>
      <c r="E258" s="522">
        <f t="shared" si="1"/>
        <v>1668038.6</v>
      </c>
    </row>
    <row r="259" ht="12.75" customHeight="1">
      <c r="A259" s="486">
        <f t="shared" si="2"/>
        <v>257</v>
      </c>
      <c r="B259" s="522">
        <f t="shared" si="3"/>
        <v>1668038.6</v>
      </c>
      <c r="C259" s="522">
        <f>(Payment!$C$6/12)*B259</f>
        <v>3822.588458</v>
      </c>
      <c r="D259" s="522">
        <f>Payment!$C$10-C259</f>
        <v>14221.67174</v>
      </c>
      <c r="E259" s="522">
        <f t="shared" si="1"/>
        <v>1653816.928</v>
      </c>
    </row>
    <row r="260" ht="12.75" customHeight="1">
      <c r="A260" s="486">
        <f t="shared" si="2"/>
        <v>258</v>
      </c>
      <c r="B260" s="522">
        <f t="shared" si="3"/>
        <v>1653816.928</v>
      </c>
      <c r="C260" s="522">
        <f>(Payment!$C$6/12)*B260</f>
        <v>3789.997127</v>
      </c>
      <c r="D260" s="522">
        <f>Payment!$C$10-C260</f>
        <v>14254.26307</v>
      </c>
      <c r="E260" s="522">
        <f t="shared" si="1"/>
        <v>1639562.665</v>
      </c>
    </row>
    <row r="261" ht="12.75" customHeight="1">
      <c r="A261" s="486">
        <f t="shared" si="2"/>
        <v>259</v>
      </c>
      <c r="B261" s="522">
        <f t="shared" si="3"/>
        <v>1639562.665</v>
      </c>
      <c r="C261" s="522">
        <f>(Payment!$C$6/12)*B261</f>
        <v>3757.331108</v>
      </c>
      <c r="D261" s="522">
        <f>Payment!$C$10-C261</f>
        <v>14286.92909</v>
      </c>
      <c r="E261" s="522">
        <f t="shared" si="1"/>
        <v>1625275.736</v>
      </c>
    </row>
    <row r="262" ht="12.75" customHeight="1">
      <c r="A262" s="486">
        <f t="shared" si="2"/>
        <v>260</v>
      </c>
      <c r="B262" s="522">
        <f t="shared" si="3"/>
        <v>1625275.736</v>
      </c>
      <c r="C262" s="522">
        <f>(Payment!$C$6/12)*B262</f>
        <v>3724.590228</v>
      </c>
      <c r="D262" s="522">
        <f>Payment!$C$10-C262</f>
        <v>14319.66997</v>
      </c>
      <c r="E262" s="522">
        <f t="shared" si="1"/>
        <v>1610956.066</v>
      </c>
    </row>
    <row r="263" ht="12.75" customHeight="1">
      <c r="A263" s="486">
        <f t="shared" si="2"/>
        <v>261</v>
      </c>
      <c r="B263" s="522">
        <f t="shared" si="3"/>
        <v>1610956.066</v>
      </c>
      <c r="C263" s="522">
        <f>(Payment!$C$6/12)*B263</f>
        <v>3691.774318</v>
      </c>
      <c r="D263" s="522">
        <f>Payment!$C$10-C263</f>
        <v>14352.48588</v>
      </c>
      <c r="E263" s="522">
        <f t="shared" si="1"/>
        <v>1596603.58</v>
      </c>
    </row>
    <row r="264" ht="12.75" customHeight="1">
      <c r="A264" s="486">
        <f t="shared" si="2"/>
        <v>262</v>
      </c>
      <c r="B264" s="522">
        <f t="shared" si="3"/>
        <v>1596603.58</v>
      </c>
      <c r="C264" s="522">
        <f>(Payment!$C$6/12)*B264</f>
        <v>3658.883205</v>
      </c>
      <c r="D264" s="522">
        <f>Payment!$C$10-C264</f>
        <v>14385.377</v>
      </c>
      <c r="E264" s="522">
        <f t="shared" si="1"/>
        <v>1582218.203</v>
      </c>
    </row>
    <row r="265" ht="12.75" customHeight="1">
      <c r="A265" s="486">
        <f t="shared" si="2"/>
        <v>263</v>
      </c>
      <c r="B265" s="522">
        <f t="shared" si="3"/>
        <v>1582218.203</v>
      </c>
      <c r="C265" s="522">
        <f>(Payment!$C$6/12)*B265</f>
        <v>3625.916716</v>
      </c>
      <c r="D265" s="522">
        <f>Payment!$C$10-C265</f>
        <v>14418.34348</v>
      </c>
      <c r="E265" s="522">
        <f t="shared" si="1"/>
        <v>1567799.86</v>
      </c>
    </row>
    <row r="266" ht="12.75" customHeight="1">
      <c r="A266" s="486">
        <f t="shared" si="2"/>
        <v>264</v>
      </c>
      <c r="B266" s="522">
        <f t="shared" si="3"/>
        <v>1567799.86</v>
      </c>
      <c r="C266" s="522">
        <f>(Payment!$C$6/12)*B266</f>
        <v>3592.874678</v>
      </c>
      <c r="D266" s="522">
        <f>Payment!$C$10-C266</f>
        <v>14451.38552</v>
      </c>
      <c r="E266" s="522">
        <f t="shared" si="1"/>
        <v>1553348.474</v>
      </c>
    </row>
    <row r="267" ht="12.75" customHeight="1">
      <c r="A267" s="486">
        <f t="shared" si="2"/>
        <v>265</v>
      </c>
      <c r="B267" s="522">
        <f t="shared" si="3"/>
        <v>1553348.474</v>
      </c>
      <c r="C267" s="522">
        <f>(Payment!$C$6/12)*B267</f>
        <v>3559.75692</v>
      </c>
      <c r="D267" s="522">
        <f>Payment!$C$10-C267</f>
        <v>14484.50328</v>
      </c>
      <c r="E267" s="522">
        <f t="shared" si="1"/>
        <v>1538863.971</v>
      </c>
    </row>
    <row r="268" ht="12.75" customHeight="1">
      <c r="A268" s="486">
        <f t="shared" si="2"/>
        <v>266</v>
      </c>
      <c r="B268" s="522">
        <f t="shared" si="3"/>
        <v>1538863.971</v>
      </c>
      <c r="C268" s="522">
        <f>(Payment!$C$6/12)*B268</f>
        <v>3526.563267</v>
      </c>
      <c r="D268" s="522">
        <f>Payment!$C$10-C268</f>
        <v>14517.69693</v>
      </c>
      <c r="E268" s="522">
        <f t="shared" si="1"/>
        <v>1524346.274</v>
      </c>
    </row>
    <row r="269" ht="12.75" customHeight="1">
      <c r="A269" s="486">
        <f t="shared" si="2"/>
        <v>267</v>
      </c>
      <c r="B269" s="522">
        <f t="shared" si="3"/>
        <v>1524346.274</v>
      </c>
      <c r="C269" s="522">
        <f>(Payment!$C$6/12)*B269</f>
        <v>3493.293544</v>
      </c>
      <c r="D269" s="522">
        <f>Payment!$C$10-C269</f>
        <v>14550.96666</v>
      </c>
      <c r="E269" s="522">
        <f t="shared" si="1"/>
        <v>1509795.307</v>
      </c>
    </row>
    <row r="270" ht="12.75" customHeight="1">
      <c r="A270" s="486">
        <f t="shared" si="2"/>
        <v>268</v>
      </c>
      <c r="B270" s="522">
        <f t="shared" si="3"/>
        <v>1509795.307</v>
      </c>
      <c r="C270" s="522">
        <f>(Payment!$C$6/12)*B270</f>
        <v>3459.947579</v>
      </c>
      <c r="D270" s="522">
        <f>Payment!$C$10-C270</f>
        <v>14584.31262</v>
      </c>
      <c r="E270" s="522">
        <f t="shared" si="1"/>
        <v>1495210.995</v>
      </c>
    </row>
    <row r="271" ht="12.75" customHeight="1">
      <c r="A271" s="486">
        <f t="shared" si="2"/>
        <v>269</v>
      </c>
      <c r="B271" s="522">
        <f t="shared" si="3"/>
        <v>1495210.995</v>
      </c>
      <c r="C271" s="522">
        <f>(Payment!$C$6/12)*B271</f>
        <v>3426.525196</v>
      </c>
      <c r="D271" s="522">
        <f>Payment!$C$10-C271</f>
        <v>14617.735</v>
      </c>
      <c r="E271" s="522">
        <f t="shared" si="1"/>
        <v>1480593.26</v>
      </c>
    </row>
    <row r="272" ht="12.75" customHeight="1">
      <c r="A272" s="486">
        <f t="shared" si="2"/>
        <v>270</v>
      </c>
      <c r="B272" s="522">
        <f t="shared" si="3"/>
        <v>1480593.26</v>
      </c>
      <c r="C272" s="522">
        <f>(Payment!$C$6/12)*B272</f>
        <v>3393.02622</v>
      </c>
      <c r="D272" s="522">
        <f>Payment!$C$10-C272</f>
        <v>14651.23398</v>
      </c>
      <c r="E272" s="522">
        <f t="shared" si="1"/>
        <v>1465942.026</v>
      </c>
    </row>
    <row r="273" ht="12.75" customHeight="1">
      <c r="A273" s="486">
        <f t="shared" si="2"/>
        <v>271</v>
      </c>
      <c r="B273" s="522">
        <f t="shared" si="3"/>
        <v>1465942.026</v>
      </c>
      <c r="C273" s="522">
        <f>(Payment!$C$6/12)*B273</f>
        <v>3359.450475</v>
      </c>
      <c r="D273" s="522">
        <f>Payment!$C$10-C273</f>
        <v>14684.80972</v>
      </c>
      <c r="E273" s="522">
        <f t="shared" si="1"/>
        <v>1451257.216</v>
      </c>
    </row>
    <row r="274" ht="12.75" customHeight="1">
      <c r="A274" s="486">
        <f t="shared" si="2"/>
        <v>272</v>
      </c>
      <c r="B274" s="522">
        <f t="shared" si="3"/>
        <v>1451257.216</v>
      </c>
      <c r="C274" s="522">
        <f>(Payment!$C$6/12)*B274</f>
        <v>3325.797787</v>
      </c>
      <c r="D274" s="522">
        <f>Payment!$C$10-C274</f>
        <v>14718.46241</v>
      </c>
      <c r="E274" s="522">
        <f t="shared" si="1"/>
        <v>1436538.754</v>
      </c>
    </row>
    <row r="275" ht="12.75" customHeight="1">
      <c r="A275" s="486">
        <f t="shared" si="2"/>
        <v>273</v>
      </c>
      <c r="B275" s="522">
        <f t="shared" si="3"/>
        <v>1436538.754</v>
      </c>
      <c r="C275" s="522">
        <f>(Payment!$C$6/12)*B275</f>
        <v>3292.067977</v>
      </c>
      <c r="D275" s="522">
        <f>Payment!$C$10-C275</f>
        <v>14752.19222</v>
      </c>
      <c r="E275" s="522">
        <f t="shared" si="1"/>
        <v>1421786.561</v>
      </c>
    </row>
    <row r="276" ht="12.75" customHeight="1">
      <c r="A276" s="486">
        <f t="shared" si="2"/>
        <v>274</v>
      </c>
      <c r="B276" s="522">
        <f t="shared" si="3"/>
        <v>1421786.561</v>
      </c>
      <c r="C276" s="522">
        <f>(Payment!$C$6/12)*B276</f>
        <v>3258.26087</v>
      </c>
      <c r="D276" s="522">
        <f>Payment!$C$10-C276</f>
        <v>14785.99933</v>
      </c>
      <c r="E276" s="522">
        <f t="shared" si="1"/>
        <v>1407000.562</v>
      </c>
    </row>
    <row r="277" ht="12.75" customHeight="1">
      <c r="A277" s="486">
        <f t="shared" si="2"/>
        <v>275</v>
      </c>
      <c r="B277" s="522">
        <f t="shared" si="3"/>
        <v>1407000.562</v>
      </c>
      <c r="C277" s="522">
        <f>(Payment!$C$6/12)*B277</f>
        <v>3224.376288</v>
      </c>
      <c r="D277" s="522">
        <f>Payment!$C$10-C277</f>
        <v>14819.88391</v>
      </c>
      <c r="E277" s="522">
        <f t="shared" si="1"/>
        <v>1392180.678</v>
      </c>
    </row>
    <row r="278" ht="12.75" customHeight="1">
      <c r="A278" s="486">
        <f t="shared" si="2"/>
        <v>276</v>
      </c>
      <c r="B278" s="522">
        <f t="shared" si="3"/>
        <v>1392180.678</v>
      </c>
      <c r="C278" s="522">
        <f>(Payment!$C$6/12)*B278</f>
        <v>3190.414054</v>
      </c>
      <c r="D278" s="522">
        <f>Payment!$C$10-C278</f>
        <v>14853.84615</v>
      </c>
      <c r="E278" s="522">
        <f t="shared" si="1"/>
        <v>1377326.832</v>
      </c>
    </row>
    <row r="279" ht="12.75" customHeight="1">
      <c r="A279" s="486">
        <f t="shared" si="2"/>
        <v>277</v>
      </c>
      <c r="B279" s="522">
        <f t="shared" si="3"/>
        <v>1377326.832</v>
      </c>
      <c r="C279" s="522">
        <f>(Payment!$C$6/12)*B279</f>
        <v>3156.37399</v>
      </c>
      <c r="D279" s="522">
        <f>Payment!$C$10-C279</f>
        <v>14887.88621</v>
      </c>
      <c r="E279" s="522">
        <f t="shared" si="1"/>
        <v>1362438.946</v>
      </c>
    </row>
    <row r="280" ht="12.75" customHeight="1">
      <c r="A280" s="486">
        <f t="shared" si="2"/>
        <v>278</v>
      </c>
      <c r="B280" s="522">
        <f t="shared" si="3"/>
        <v>1362438.946</v>
      </c>
      <c r="C280" s="522">
        <f>(Payment!$C$6/12)*B280</f>
        <v>3122.255917</v>
      </c>
      <c r="D280" s="522">
        <f>Payment!$C$10-C280</f>
        <v>14922.00428</v>
      </c>
      <c r="E280" s="522">
        <f t="shared" si="1"/>
        <v>1347516.941</v>
      </c>
    </row>
    <row r="281" ht="12.75" customHeight="1">
      <c r="A281" s="486">
        <f t="shared" si="2"/>
        <v>279</v>
      </c>
      <c r="B281" s="522">
        <f t="shared" si="3"/>
        <v>1347516.941</v>
      </c>
      <c r="C281" s="522">
        <f>(Payment!$C$6/12)*B281</f>
        <v>3088.059657</v>
      </c>
      <c r="D281" s="522">
        <f>Payment!$C$10-C281</f>
        <v>14956.20054</v>
      </c>
      <c r="E281" s="522">
        <f t="shared" si="1"/>
        <v>1332560.741</v>
      </c>
    </row>
    <row r="282" ht="12.75" customHeight="1">
      <c r="A282" s="486">
        <f t="shared" si="2"/>
        <v>280</v>
      </c>
      <c r="B282" s="522">
        <f t="shared" si="3"/>
        <v>1332560.741</v>
      </c>
      <c r="C282" s="522">
        <f>(Payment!$C$6/12)*B282</f>
        <v>3053.785031</v>
      </c>
      <c r="D282" s="522">
        <f>Payment!$C$10-C282</f>
        <v>14990.47517</v>
      </c>
      <c r="E282" s="522">
        <f t="shared" si="1"/>
        <v>1317570.266</v>
      </c>
    </row>
    <row r="283" ht="12.75" customHeight="1">
      <c r="A283" s="486">
        <f t="shared" si="2"/>
        <v>281</v>
      </c>
      <c r="B283" s="522">
        <f t="shared" si="3"/>
        <v>1317570.266</v>
      </c>
      <c r="C283" s="522">
        <f>(Payment!$C$6/12)*B283</f>
        <v>3019.431859</v>
      </c>
      <c r="D283" s="522">
        <f>Payment!$C$10-C283</f>
        <v>15024.82834</v>
      </c>
      <c r="E283" s="522">
        <f t="shared" si="1"/>
        <v>1302545.437</v>
      </c>
    </row>
    <row r="284" ht="12.75" customHeight="1">
      <c r="A284" s="486">
        <f t="shared" si="2"/>
        <v>282</v>
      </c>
      <c r="B284" s="522">
        <f t="shared" si="3"/>
        <v>1302545.437</v>
      </c>
      <c r="C284" s="522">
        <f>(Payment!$C$6/12)*B284</f>
        <v>2984.999961</v>
      </c>
      <c r="D284" s="522">
        <f>Payment!$C$10-C284</f>
        <v>15059.26024</v>
      </c>
      <c r="E284" s="522">
        <f t="shared" si="1"/>
        <v>1287486.177</v>
      </c>
    </row>
    <row r="285" ht="12.75" customHeight="1">
      <c r="A285" s="486">
        <f t="shared" si="2"/>
        <v>283</v>
      </c>
      <c r="B285" s="522">
        <f t="shared" si="3"/>
        <v>1287486.177</v>
      </c>
      <c r="C285" s="522">
        <f>(Payment!$C$6/12)*B285</f>
        <v>2950.489156</v>
      </c>
      <c r="D285" s="522">
        <f>Payment!$C$10-C285</f>
        <v>15093.77104</v>
      </c>
      <c r="E285" s="522">
        <f t="shared" si="1"/>
        <v>1272392.406</v>
      </c>
    </row>
    <row r="286" ht="12.75" customHeight="1">
      <c r="A286" s="486">
        <f t="shared" si="2"/>
        <v>284</v>
      </c>
      <c r="B286" s="522">
        <f t="shared" si="3"/>
        <v>1272392.406</v>
      </c>
      <c r="C286" s="522">
        <f>(Payment!$C$6/12)*B286</f>
        <v>2915.899264</v>
      </c>
      <c r="D286" s="522">
        <f>Payment!$C$10-C286</f>
        <v>15128.36094</v>
      </c>
      <c r="E286" s="522">
        <f t="shared" si="1"/>
        <v>1257264.045</v>
      </c>
    </row>
    <row r="287" ht="12.75" customHeight="1">
      <c r="A287" s="486">
        <f t="shared" si="2"/>
        <v>285</v>
      </c>
      <c r="B287" s="522">
        <f t="shared" si="3"/>
        <v>1257264.045</v>
      </c>
      <c r="C287" s="522">
        <f>(Payment!$C$6/12)*B287</f>
        <v>2881.230103</v>
      </c>
      <c r="D287" s="522">
        <f>Payment!$C$10-C287</f>
        <v>15163.0301</v>
      </c>
      <c r="E287" s="522">
        <f t="shared" si="1"/>
        <v>1242101.015</v>
      </c>
    </row>
    <row r="288" ht="12.75" customHeight="1">
      <c r="A288" s="486">
        <f t="shared" si="2"/>
        <v>286</v>
      </c>
      <c r="B288" s="522">
        <f t="shared" si="3"/>
        <v>1242101.015</v>
      </c>
      <c r="C288" s="522">
        <f>(Payment!$C$6/12)*B288</f>
        <v>2846.481493</v>
      </c>
      <c r="D288" s="522">
        <f>Payment!$C$10-C288</f>
        <v>15197.77871</v>
      </c>
      <c r="E288" s="522">
        <f t="shared" si="1"/>
        <v>1226903.236</v>
      </c>
    </row>
    <row r="289" ht="12.75" customHeight="1">
      <c r="A289" s="486">
        <f t="shared" si="2"/>
        <v>287</v>
      </c>
      <c r="B289" s="522">
        <f t="shared" si="3"/>
        <v>1226903.236</v>
      </c>
      <c r="C289" s="522">
        <f>(Payment!$C$6/12)*B289</f>
        <v>2811.65325</v>
      </c>
      <c r="D289" s="522">
        <f>Payment!$C$10-C289</f>
        <v>15232.60695</v>
      </c>
      <c r="E289" s="522">
        <f t="shared" si="1"/>
        <v>1211670.629</v>
      </c>
    </row>
    <row r="290" ht="12.75" customHeight="1">
      <c r="A290" s="486">
        <f t="shared" si="2"/>
        <v>288</v>
      </c>
      <c r="B290" s="522">
        <f t="shared" si="3"/>
        <v>1211670.629</v>
      </c>
      <c r="C290" s="522">
        <f>(Payment!$C$6/12)*B290</f>
        <v>2776.745192</v>
      </c>
      <c r="D290" s="522">
        <f>Payment!$C$10-C290</f>
        <v>15267.51501</v>
      </c>
      <c r="E290" s="522">
        <f t="shared" si="1"/>
        <v>1196403.114</v>
      </c>
    </row>
    <row r="291" ht="12.75" customHeight="1">
      <c r="A291" s="486">
        <f t="shared" si="2"/>
        <v>289</v>
      </c>
      <c r="B291" s="522">
        <f t="shared" si="3"/>
        <v>1196403.114</v>
      </c>
      <c r="C291" s="522">
        <f>(Payment!$C$6/12)*B291</f>
        <v>2741.757137</v>
      </c>
      <c r="D291" s="522">
        <f>Payment!$C$10-C291</f>
        <v>15302.50306</v>
      </c>
      <c r="E291" s="522">
        <f t="shared" si="1"/>
        <v>1181100.611</v>
      </c>
    </row>
    <row r="292" ht="12.75" customHeight="1">
      <c r="A292" s="486">
        <f t="shared" si="2"/>
        <v>290</v>
      </c>
      <c r="B292" s="522">
        <f t="shared" si="3"/>
        <v>1181100.611</v>
      </c>
      <c r="C292" s="522">
        <f>(Payment!$C$6/12)*B292</f>
        <v>2706.688901</v>
      </c>
      <c r="D292" s="522">
        <f>Payment!$C$10-C292</f>
        <v>15337.5713</v>
      </c>
      <c r="E292" s="522">
        <f t="shared" si="1"/>
        <v>1165763.04</v>
      </c>
    </row>
    <row r="293" ht="12.75" customHeight="1">
      <c r="A293" s="486">
        <f t="shared" si="2"/>
        <v>291</v>
      </c>
      <c r="B293" s="522">
        <f t="shared" si="3"/>
        <v>1165763.04</v>
      </c>
      <c r="C293" s="522">
        <f>(Payment!$C$6/12)*B293</f>
        <v>2671.5403</v>
      </c>
      <c r="D293" s="522">
        <f>Payment!$C$10-C293</f>
        <v>15372.7199</v>
      </c>
      <c r="E293" s="522">
        <f t="shared" si="1"/>
        <v>1150390.32</v>
      </c>
    </row>
    <row r="294" ht="12.75" customHeight="1">
      <c r="A294" s="486">
        <f t="shared" si="2"/>
        <v>292</v>
      </c>
      <c r="B294" s="522">
        <f t="shared" si="3"/>
        <v>1150390.32</v>
      </c>
      <c r="C294" s="522">
        <f>(Payment!$C$6/12)*B294</f>
        <v>2636.31115</v>
      </c>
      <c r="D294" s="522">
        <f>Payment!$C$10-C294</f>
        <v>15407.94905</v>
      </c>
      <c r="E294" s="522">
        <f t="shared" si="1"/>
        <v>1134982.371</v>
      </c>
    </row>
    <row r="295" ht="12.75" customHeight="1">
      <c r="A295" s="486">
        <f t="shared" si="2"/>
        <v>293</v>
      </c>
      <c r="B295" s="522">
        <f t="shared" si="3"/>
        <v>1134982.371</v>
      </c>
      <c r="C295" s="522">
        <f>(Payment!$C$6/12)*B295</f>
        <v>2601.001267</v>
      </c>
      <c r="D295" s="522">
        <f>Payment!$C$10-C295</f>
        <v>15443.25893</v>
      </c>
      <c r="E295" s="522">
        <f t="shared" si="1"/>
        <v>1119539.112</v>
      </c>
    </row>
    <row r="296" ht="12.75" customHeight="1">
      <c r="A296" s="486">
        <f t="shared" si="2"/>
        <v>294</v>
      </c>
      <c r="B296" s="522">
        <f t="shared" si="3"/>
        <v>1119539.112</v>
      </c>
      <c r="C296" s="522">
        <f>(Payment!$C$6/12)*B296</f>
        <v>2565.610465</v>
      </c>
      <c r="D296" s="522">
        <f>Payment!$C$10-C296</f>
        <v>15478.64973</v>
      </c>
      <c r="E296" s="522">
        <f t="shared" si="1"/>
        <v>1104060.462</v>
      </c>
    </row>
    <row r="297" ht="12.75" customHeight="1">
      <c r="A297" s="486">
        <f t="shared" si="2"/>
        <v>295</v>
      </c>
      <c r="B297" s="522">
        <f t="shared" si="3"/>
        <v>1104060.462</v>
      </c>
      <c r="C297" s="522">
        <f>(Payment!$C$6/12)*B297</f>
        <v>2530.13856</v>
      </c>
      <c r="D297" s="522">
        <f>Payment!$C$10-C297</f>
        <v>15514.12164</v>
      </c>
      <c r="E297" s="522">
        <f t="shared" si="1"/>
        <v>1088546.341</v>
      </c>
    </row>
    <row r="298" ht="12.75" customHeight="1">
      <c r="A298" s="486">
        <f t="shared" si="2"/>
        <v>296</v>
      </c>
      <c r="B298" s="522">
        <f t="shared" si="3"/>
        <v>1088546.341</v>
      </c>
      <c r="C298" s="522">
        <f>(Payment!$C$6/12)*B298</f>
        <v>2494.585364</v>
      </c>
      <c r="D298" s="522">
        <f>Payment!$C$10-C298</f>
        <v>15549.67484</v>
      </c>
      <c r="E298" s="522">
        <f t="shared" si="1"/>
        <v>1072996.666</v>
      </c>
    </row>
    <row r="299" ht="12.75" customHeight="1">
      <c r="A299" s="486">
        <f t="shared" si="2"/>
        <v>297</v>
      </c>
      <c r="B299" s="522">
        <f t="shared" si="3"/>
        <v>1072996.666</v>
      </c>
      <c r="C299" s="522">
        <f>(Payment!$C$6/12)*B299</f>
        <v>2458.950693</v>
      </c>
      <c r="D299" s="522">
        <f>Payment!$C$10-C299</f>
        <v>15585.30951</v>
      </c>
      <c r="E299" s="522">
        <f t="shared" si="1"/>
        <v>1057411.356</v>
      </c>
    </row>
    <row r="300" ht="12.75" customHeight="1">
      <c r="A300" s="486">
        <f t="shared" si="2"/>
        <v>298</v>
      </c>
      <c r="B300" s="522">
        <f t="shared" si="3"/>
        <v>1057411.356</v>
      </c>
      <c r="C300" s="522">
        <f>(Payment!$C$6/12)*B300</f>
        <v>2423.234358</v>
      </c>
      <c r="D300" s="522">
        <f>Payment!$C$10-C300</f>
        <v>15621.02584</v>
      </c>
      <c r="E300" s="522">
        <f t="shared" si="1"/>
        <v>1041790.331</v>
      </c>
    </row>
    <row r="301" ht="12.75" customHeight="1">
      <c r="A301" s="486">
        <f t="shared" si="2"/>
        <v>299</v>
      </c>
      <c r="B301" s="522">
        <f t="shared" si="3"/>
        <v>1041790.331</v>
      </c>
      <c r="C301" s="522">
        <f>(Payment!$C$6/12)*B301</f>
        <v>2387.436174</v>
      </c>
      <c r="D301" s="522">
        <f>Payment!$C$10-C301</f>
        <v>15656.82403</v>
      </c>
      <c r="E301" s="522">
        <f t="shared" si="1"/>
        <v>1026133.507</v>
      </c>
    </row>
    <row r="302" ht="12.75" customHeight="1">
      <c r="A302" s="486">
        <f t="shared" si="2"/>
        <v>300</v>
      </c>
      <c r="B302" s="522">
        <f t="shared" si="3"/>
        <v>1026133.507</v>
      </c>
      <c r="C302" s="522">
        <f>(Payment!$C$6/12)*B302</f>
        <v>2351.555953</v>
      </c>
      <c r="D302" s="522">
        <f>Payment!$C$10-C302</f>
        <v>15692.70425</v>
      </c>
      <c r="E302" s="522">
        <f t="shared" si="1"/>
        <v>1010440.802</v>
      </c>
    </row>
    <row r="303" ht="12.75" customHeight="1">
      <c r="A303" s="486">
        <f t="shared" si="2"/>
        <v>301</v>
      </c>
      <c r="B303" s="522">
        <f t="shared" si="3"/>
        <v>1010440.802</v>
      </c>
      <c r="C303" s="522">
        <f>(Payment!$C$6/12)*B303</f>
        <v>2315.593505</v>
      </c>
      <c r="D303" s="522">
        <f>Payment!$C$10-C303</f>
        <v>15728.66669</v>
      </c>
      <c r="E303" s="522">
        <f t="shared" si="1"/>
        <v>994712.1356</v>
      </c>
    </row>
    <row r="304" ht="12.75" customHeight="1">
      <c r="A304" s="486">
        <f t="shared" si="2"/>
        <v>302</v>
      </c>
      <c r="B304" s="522">
        <f t="shared" si="3"/>
        <v>994712.1356</v>
      </c>
      <c r="C304" s="522">
        <f>(Payment!$C$6/12)*B304</f>
        <v>2279.548644</v>
      </c>
      <c r="D304" s="522">
        <f>Payment!$C$10-C304</f>
        <v>15764.71156</v>
      </c>
      <c r="E304" s="522">
        <f t="shared" si="1"/>
        <v>978947.4241</v>
      </c>
    </row>
    <row r="305" ht="12.75" customHeight="1">
      <c r="A305" s="486">
        <f t="shared" si="2"/>
        <v>303</v>
      </c>
      <c r="B305" s="522">
        <f t="shared" si="3"/>
        <v>978947.4241</v>
      </c>
      <c r="C305" s="522">
        <f>(Payment!$C$6/12)*B305</f>
        <v>2243.42118</v>
      </c>
      <c r="D305" s="522">
        <f>Payment!$C$10-C305</f>
        <v>15800.83902</v>
      </c>
      <c r="E305" s="522">
        <f t="shared" si="1"/>
        <v>963146.585</v>
      </c>
    </row>
    <row r="306" ht="12.75" customHeight="1">
      <c r="A306" s="486">
        <f t="shared" si="2"/>
        <v>304</v>
      </c>
      <c r="B306" s="522">
        <f t="shared" si="3"/>
        <v>963146.585</v>
      </c>
      <c r="C306" s="522">
        <f>(Payment!$C$6/12)*B306</f>
        <v>2207.210924</v>
      </c>
      <c r="D306" s="522">
        <f>Payment!$C$10-C306</f>
        <v>15837.04928</v>
      </c>
      <c r="E306" s="522">
        <f t="shared" si="1"/>
        <v>947309.5358</v>
      </c>
    </row>
    <row r="307" ht="12.75" customHeight="1">
      <c r="A307" s="486">
        <f t="shared" si="2"/>
        <v>305</v>
      </c>
      <c r="B307" s="522">
        <f t="shared" si="3"/>
        <v>947309.5358</v>
      </c>
      <c r="C307" s="522">
        <f>(Payment!$C$6/12)*B307</f>
        <v>2170.917686</v>
      </c>
      <c r="D307" s="522">
        <f>Payment!$C$10-C307</f>
        <v>15873.34251</v>
      </c>
      <c r="E307" s="522">
        <f t="shared" si="1"/>
        <v>931436.1933</v>
      </c>
    </row>
    <row r="308" ht="12.75" customHeight="1">
      <c r="A308" s="486">
        <f t="shared" si="2"/>
        <v>306</v>
      </c>
      <c r="B308" s="522">
        <f t="shared" si="3"/>
        <v>931436.1933</v>
      </c>
      <c r="C308" s="522">
        <f>(Payment!$C$6/12)*B308</f>
        <v>2134.541276</v>
      </c>
      <c r="D308" s="522">
        <f>Payment!$C$10-C308</f>
        <v>15909.71892</v>
      </c>
      <c r="E308" s="522">
        <f t="shared" si="1"/>
        <v>915526.4743</v>
      </c>
    </row>
    <row r="309" ht="12.75" customHeight="1">
      <c r="A309" s="486">
        <f t="shared" si="2"/>
        <v>307</v>
      </c>
      <c r="B309" s="522">
        <f t="shared" si="3"/>
        <v>915526.4743</v>
      </c>
      <c r="C309" s="522">
        <f>(Payment!$C$6/12)*B309</f>
        <v>2098.081504</v>
      </c>
      <c r="D309" s="522">
        <f>Payment!$C$10-C309</f>
        <v>15946.1787</v>
      </c>
      <c r="E309" s="522">
        <f t="shared" si="1"/>
        <v>899580.2956</v>
      </c>
    </row>
    <row r="310" ht="12.75" customHeight="1">
      <c r="A310" s="486">
        <f t="shared" si="2"/>
        <v>308</v>
      </c>
      <c r="B310" s="522">
        <f t="shared" si="3"/>
        <v>899580.2956</v>
      </c>
      <c r="C310" s="522">
        <f>(Payment!$C$6/12)*B310</f>
        <v>2061.538177</v>
      </c>
      <c r="D310" s="522">
        <f>Payment!$C$10-C310</f>
        <v>15982.72202</v>
      </c>
      <c r="E310" s="522">
        <f t="shared" si="1"/>
        <v>883597.5736</v>
      </c>
    </row>
    <row r="311" ht="12.75" customHeight="1">
      <c r="A311" s="486">
        <f t="shared" si="2"/>
        <v>309</v>
      </c>
      <c r="B311" s="522">
        <f t="shared" si="3"/>
        <v>883597.5736</v>
      </c>
      <c r="C311" s="522">
        <f>(Payment!$C$6/12)*B311</f>
        <v>2024.911106</v>
      </c>
      <c r="D311" s="522">
        <f>Payment!$C$10-C311</f>
        <v>16019.34909</v>
      </c>
      <c r="E311" s="522">
        <f t="shared" si="1"/>
        <v>867578.2245</v>
      </c>
    </row>
    <row r="312" ht="12.75" customHeight="1">
      <c r="A312" s="486">
        <f t="shared" si="2"/>
        <v>310</v>
      </c>
      <c r="B312" s="522">
        <f t="shared" si="3"/>
        <v>867578.2245</v>
      </c>
      <c r="C312" s="522">
        <f>(Payment!$C$6/12)*B312</f>
        <v>1988.200098</v>
      </c>
      <c r="D312" s="522">
        <f>Payment!$C$10-C312</f>
        <v>16056.0601</v>
      </c>
      <c r="E312" s="522">
        <f t="shared" si="1"/>
        <v>851522.1644</v>
      </c>
    </row>
    <row r="313" ht="12.75" customHeight="1">
      <c r="A313" s="486">
        <f t="shared" si="2"/>
        <v>311</v>
      </c>
      <c r="B313" s="522">
        <f t="shared" si="3"/>
        <v>851522.1644</v>
      </c>
      <c r="C313" s="522">
        <f>(Payment!$C$6/12)*B313</f>
        <v>1951.40496</v>
      </c>
      <c r="D313" s="522">
        <f>Payment!$C$10-C313</f>
        <v>16092.85524</v>
      </c>
      <c r="E313" s="522">
        <f t="shared" si="1"/>
        <v>835429.3092</v>
      </c>
    </row>
    <row r="314" ht="12.75" customHeight="1">
      <c r="A314" s="486">
        <f t="shared" si="2"/>
        <v>312</v>
      </c>
      <c r="B314" s="522">
        <f t="shared" si="3"/>
        <v>835429.3092</v>
      </c>
      <c r="C314" s="522">
        <f>(Payment!$C$6/12)*B314</f>
        <v>1914.5255</v>
      </c>
      <c r="D314" s="522">
        <f>Payment!$C$10-C314</f>
        <v>16129.7347</v>
      </c>
      <c r="E314" s="522">
        <f t="shared" si="1"/>
        <v>819299.5745</v>
      </c>
    </row>
    <row r="315" ht="12.75" customHeight="1">
      <c r="A315" s="486">
        <f t="shared" si="2"/>
        <v>313</v>
      </c>
      <c r="B315" s="522">
        <f t="shared" si="3"/>
        <v>819299.5745</v>
      </c>
      <c r="C315" s="522">
        <f>(Payment!$C$6/12)*B315</f>
        <v>1877.561525</v>
      </c>
      <c r="D315" s="522">
        <f>Payment!$C$10-C315</f>
        <v>16166.69868</v>
      </c>
      <c r="E315" s="522">
        <f t="shared" si="1"/>
        <v>803132.8758</v>
      </c>
    </row>
    <row r="316" ht="12.75" customHeight="1">
      <c r="A316" s="486">
        <f t="shared" si="2"/>
        <v>314</v>
      </c>
      <c r="B316" s="522">
        <f t="shared" si="3"/>
        <v>803132.8758</v>
      </c>
      <c r="C316" s="522">
        <f>(Payment!$C$6/12)*B316</f>
        <v>1840.51284</v>
      </c>
      <c r="D316" s="522">
        <f>Payment!$C$10-C316</f>
        <v>16203.74736</v>
      </c>
      <c r="E316" s="522">
        <f t="shared" si="1"/>
        <v>786929.1284</v>
      </c>
    </row>
    <row r="317" ht="12.75" customHeight="1">
      <c r="A317" s="486">
        <f t="shared" si="2"/>
        <v>315</v>
      </c>
      <c r="B317" s="522">
        <f t="shared" si="3"/>
        <v>786929.1284</v>
      </c>
      <c r="C317" s="522">
        <f>(Payment!$C$6/12)*B317</f>
        <v>1803.379253</v>
      </c>
      <c r="D317" s="522">
        <f>Payment!$C$10-C317</f>
        <v>16240.88095</v>
      </c>
      <c r="E317" s="522">
        <f t="shared" si="1"/>
        <v>770688.2475</v>
      </c>
    </row>
    <row r="318" ht="12.75" customHeight="1">
      <c r="A318" s="486">
        <f t="shared" si="2"/>
        <v>316</v>
      </c>
      <c r="B318" s="522">
        <f t="shared" si="3"/>
        <v>770688.2475</v>
      </c>
      <c r="C318" s="522">
        <f>(Payment!$C$6/12)*B318</f>
        <v>1766.160567</v>
      </c>
      <c r="D318" s="522">
        <f>Payment!$C$10-C318</f>
        <v>16278.09963</v>
      </c>
      <c r="E318" s="522">
        <f t="shared" si="1"/>
        <v>754410.1479</v>
      </c>
    </row>
    <row r="319" ht="12.75" customHeight="1">
      <c r="A319" s="486">
        <f t="shared" si="2"/>
        <v>317</v>
      </c>
      <c r="B319" s="522">
        <f t="shared" si="3"/>
        <v>754410.1479</v>
      </c>
      <c r="C319" s="522">
        <f>(Payment!$C$6/12)*B319</f>
        <v>1728.856589</v>
      </c>
      <c r="D319" s="522">
        <f>Payment!$C$10-C319</f>
        <v>16315.40361</v>
      </c>
      <c r="E319" s="522">
        <f t="shared" si="1"/>
        <v>738094.7442</v>
      </c>
    </row>
    <row r="320" ht="12.75" customHeight="1">
      <c r="A320" s="486">
        <f t="shared" si="2"/>
        <v>318</v>
      </c>
      <c r="B320" s="522">
        <f t="shared" si="3"/>
        <v>738094.7442</v>
      </c>
      <c r="C320" s="522">
        <f>(Payment!$C$6/12)*B320</f>
        <v>1691.467122</v>
      </c>
      <c r="D320" s="522">
        <f>Payment!$C$10-C320</f>
        <v>16352.79308</v>
      </c>
      <c r="E320" s="522">
        <f t="shared" si="1"/>
        <v>721741.9512</v>
      </c>
    </row>
    <row r="321" ht="12.75" customHeight="1">
      <c r="A321" s="486">
        <f t="shared" si="2"/>
        <v>319</v>
      </c>
      <c r="B321" s="522">
        <f t="shared" si="3"/>
        <v>721741.9512</v>
      </c>
      <c r="C321" s="522">
        <f>(Payment!$C$6/12)*B321</f>
        <v>1653.991971</v>
      </c>
      <c r="D321" s="522">
        <f>Payment!$C$10-C321</f>
        <v>16390.26823</v>
      </c>
      <c r="E321" s="522">
        <f t="shared" si="1"/>
        <v>705351.6829</v>
      </c>
    </row>
    <row r="322" ht="12.75" customHeight="1">
      <c r="A322" s="486">
        <f t="shared" si="2"/>
        <v>320</v>
      </c>
      <c r="B322" s="522">
        <f t="shared" si="3"/>
        <v>705351.6829</v>
      </c>
      <c r="C322" s="522">
        <f>(Payment!$C$6/12)*B322</f>
        <v>1616.43094</v>
      </c>
      <c r="D322" s="522">
        <f>Payment!$C$10-C322</f>
        <v>16427.82926</v>
      </c>
      <c r="E322" s="522">
        <f t="shared" si="1"/>
        <v>688923.8537</v>
      </c>
    </row>
    <row r="323" ht="12.75" customHeight="1">
      <c r="A323" s="486">
        <f t="shared" si="2"/>
        <v>321</v>
      </c>
      <c r="B323" s="522">
        <f t="shared" si="3"/>
        <v>688923.8537</v>
      </c>
      <c r="C323" s="522">
        <f>(Payment!$C$6/12)*B323</f>
        <v>1578.783831</v>
      </c>
      <c r="D323" s="522">
        <f>Payment!$C$10-C323</f>
        <v>16465.47637</v>
      </c>
      <c r="E323" s="522">
        <f t="shared" si="1"/>
        <v>672458.3773</v>
      </c>
    </row>
    <row r="324" ht="12.75" customHeight="1">
      <c r="A324" s="486">
        <f t="shared" si="2"/>
        <v>322</v>
      </c>
      <c r="B324" s="522">
        <f t="shared" si="3"/>
        <v>672458.3773</v>
      </c>
      <c r="C324" s="522">
        <f>(Payment!$C$6/12)*B324</f>
        <v>1541.050448</v>
      </c>
      <c r="D324" s="522">
        <f>Payment!$C$10-C324</f>
        <v>16503.20975</v>
      </c>
      <c r="E324" s="522">
        <f t="shared" si="1"/>
        <v>655955.1676</v>
      </c>
    </row>
    <row r="325" ht="12.75" customHeight="1">
      <c r="A325" s="486">
        <f t="shared" si="2"/>
        <v>323</v>
      </c>
      <c r="B325" s="522">
        <f t="shared" si="3"/>
        <v>655955.1676</v>
      </c>
      <c r="C325" s="522">
        <f>(Payment!$C$6/12)*B325</f>
        <v>1503.230592</v>
      </c>
      <c r="D325" s="522">
        <f>Payment!$C$10-C325</f>
        <v>16541.02961</v>
      </c>
      <c r="E325" s="522">
        <f t="shared" si="1"/>
        <v>639414.138</v>
      </c>
    </row>
    <row r="326" ht="12.75" customHeight="1">
      <c r="A326" s="486">
        <f t="shared" si="2"/>
        <v>324</v>
      </c>
      <c r="B326" s="522">
        <f t="shared" si="3"/>
        <v>639414.138</v>
      </c>
      <c r="C326" s="522">
        <f>(Payment!$C$6/12)*B326</f>
        <v>1465.324066</v>
      </c>
      <c r="D326" s="522">
        <f>Payment!$C$10-C326</f>
        <v>16578.93613</v>
      </c>
      <c r="E326" s="522">
        <f t="shared" si="1"/>
        <v>622835.2018</v>
      </c>
    </row>
    <row r="327" ht="12.75" customHeight="1">
      <c r="A327" s="486">
        <f t="shared" si="2"/>
        <v>325</v>
      </c>
      <c r="B327" s="522">
        <f t="shared" si="3"/>
        <v>622835.2018</v>
      </c>
      <c r="C327" s="522">
        <f>(Payment!$C$6/12)*B327</f>
        <v>1427.330671</v>
      </c>
      <c r="D327" s="522">
        <f>Payment!$C$10-C327</f>
        <v>16616.92953</v>
      </c>
      <c r="E327" s="522">
        <f t="shared" si="1"/>
        <v>606218.2723</v>
      </c>
    </row>
    <row r="328" ht="12.75" customHeight="1">
      <c r="A328" s="486">
        <f t="shared" si="2"/>
        <v>326</v>
      </c>
      <c r="B328" s="522">
        <f t="shared" si="3"/>
        <v>606218.2723</v>
      </c>
      <c r="C328" s="522">
        <f>(Payment!$C$6/12)*B328</f>
        <v>1389.250207</v>
      </c>
      <c r="D328" s="522">
        <f>Payment!$C$10-C328</f>
        <v>16655.00999</v>
      </c>
      <c r="E328" s="522">
        <f t="shared" si="1"/>
        <v>589563.2623</v>
      </c>
    </row>
    <row r="329" ht="12.75" customHeight="1">
      <c r="A329" s="486">
        <f t="shared" si="2"/>
        <v>327</v>
      </c>
      <c r="B329" s="522">
        <f t="shared" si="3"/>
        <v>589563.2623</v>
      </c>
      <c r="C329" s="522">
        <f>(Payment!$C$6/12)*B329</f>
        <v>1351.082476</v>
      </c>
      <c r="D329" s="522">
        <f>Payment!$C$10-C329</f>
        <v>16693.17772</v>
      </c>
      <c r="E329" s="522">
        <f t="shared" si="1"/>
        <v>572870.0846</v>
      </c>
    </row>
    <row r="330" ht="12.75" customHeight="1">
      <c r="A330" s="486">
        <f t="shared" si="2"/>
        <v>328</v>
      </c>
      <c r="B330" s="522">
        <f t="shared" si="3"/>
        <v>572870.0846</v>
      </c>
      <c r="C330" s="522">
        <f>(Payment!$C$6/12)*B330</f>
        <v>1312.827277</v>
      </c>
      <c r="D330" s="522">
        <f>Payment!$C$10-C330</f>
        <v>16731.43292</v>
      </c>
      <c r="E330" s="522">
        <f t="shared" si="1"/>
        <v>556138.6516</v>
      </c>
    </row>
    <row r="331" ht="12.75" customHeight="1">
      <c r="A331" s="486">
        <f t="shared" si="2"/>
        <v>329</v>
      </c>
      <c r="B331" s="522">
        <f t="shared" si="3"/>
        <v>556138.6516</v>
      </c>
      <c r="C331" s="522">
        <f>(Payment!$C$6/12)*B331</f>
        <v>1274.48441</v>
      </c>
      <c r="D331" s="522">
        <f>Payment!$C$10-C331</f>
        <v>16769.77579</v>
      </c>
      <c r="E331" s="522">
        <f t="shared" si="1"/>
        <v>539368.8759</v>
      </c>
    </row>
    <row r="332" ht="12.75" customHeight="1">
      <c r="A332" s="486">
        <f t="shared" si="2"/>
        <v>330</v>
      </c>
      <c r="B332" s="522">
        <f t="shared" si="3"/>
        <v>539368.8759</v>
      </c>
      <c r="C332" s="522">
        <f>(Payment!$C$6/12)*B332</f>
        <v>1236.053674</v>
      </c>
      <c r="D332" s="522">
        <f>Payment!$C$10-C332</f>
        <v>16808.20653</v>
      </c>
      <c r="E332" s="522">
        <f t="shared" si="1"/>
        <v>522560.6693</v>
      </c>
    </row>
    <row r="333" ht="12.75" customHeight="1">
      <c r="A333" s="486">
        <f t="shared" si="2"/>
        <v>331</v>
      </c>
      <c r="B333" s="522">
        <f t="shared" si="3"/>
        <v>522560.6693</v>
      </c>
      <c r="C333" s="522">
        <f>(Payment!$C$6/12)*B333</f>
        <v>1197.534867</v>
      </c>
      <c r="D333" s="522">
        <f>Payment!$C$10-C333</f>
        <v>16846.72533</v>
      </c>
      <c r="E333" s="522">
        <f t="shared" si="1"/>
        <v>505713.944</v>
      </c>
    </row>
    <row r="334" ht="12.75" customHeight="1">
      <c r="A334" s="486">
        <f t="shared" si="2"/>
        <v>332</v>
      </c>
      <c r="B334" s="522">
        <f t="shared" si="3"/>
        <v>505713.944</v>
      </c>
      <c r="C334" s="522">
        <f>(Payment!$C$6/12)*B334</f>
        <v>1158.927788</v>
      </c>
      <c r="D334" s="522">
        <f>Payment!$C$10-C334</f>
        <v>16885.33241</v>
      </c>
      <c r="E334" s="522">
        <f t="shared" si="1"/>
        <v>488828.6116</v>
      </c>
    </row>
    <row r="335" ht="12.75" customHeight="1">
      <c r="A335" s="486">
        <f t="shared" si="2"/>
        <v>333</v>
      </c>
      <c r="B335" s="522">
        <f t="shared" si="3"/>
        <v>488828.6116</v>
      </c>
      <c r="C335" s="522">
        <f>(Payment!$C$6/12)*B335</f>
        <v>1120.232235</v>
      </c>
      <c r="D335" s="522">
        <f>Payment!$C$10-C335</f>
        <v>16924.02797</v>
      </c>
      <c r="E335" s="522">
        <f t="shared" si="1"/>
        <v>471904.5836</v>
      </c>
    </row>
    <row r="336" ht="12.75" customHeight="1">
      <c r="A336" s="486">
        <f t="shared" si="2"/>
        <v>334</v>
      </c>
      <c r="B336" s="522">
        <f t="shared" si="3"/>
        <v>471904.5836</v>
      </c>
      <c r="C336" s="522">
        <f>(Payment!$C$6/12)*B336</f>
        <v>1081.448004</v>
      </c>
      <c r="D336" s="522">
        <f>Payment!$C$10-C336</f>
        <v>16962.8122</v>
      </c>
      <c r="E336" s="522">
        <f t="shared" si="1"/>
        <v>454941.7714</v>
      </c>
    </row>
    <row r="337" ht="12.75" customHeight="1">
      <c r="A337" s="486">
        <f t="shared" si="2"/>
        <v>335</v>
      </c>
      <c r="B337" s="522">
        <f t="shared" si="3"/>
        <v>454941.7714</v>
      </c>
      <c r="C337" s="522">
        <f>(Payment!$C$6/12)*B337</f>
        <v>1042.574893</v>
      </c>
      <c r="D337" s="522">
        <f>Payment!$C$10-C337</f>
        <v>17001.68531</v>
      </c>
      <c r="E337" s="522">
        <f t="shared" si="1"/>
        <v>437940.0861</v>
      </c>
    </row>
    <row r="338" ht="12.75" customHeight="1">
      <c r="A338" s="486">
        <f t="shared" si="2"/>
        <v>336</v>
      </c>
      <c r="B338" s="522">
        <f t="shared" si="3"/>
        <v>437940.0861</v>
      </c>
      <c r="C338" s="522">
        <f>(Payment!$C$6/12)*B338</f>
        <v>1003.612697</v>
      </c>
      <c r="D338" s="522">
        <f>Payment!$C$10-C338</f>
        <v>17040.6475</v>
      </c>
      <c r="E338" s="522">
        <f t="shared" si="1"/>
        <v>420899.4386</v>
      </c>
    </row>
    <row r="339" ht="12.75" customHeight="1">
      <c r="A339" s="486">
        <f t="shared" si="2"/>
        <v>337</v>
      </c>
      <c r="B339" s="522">
        <f t="shared" si="3"/>
        <v>420899.4386</v>
      </c>
      <c r="C339" s="522">
        <f>(Payment!$C$6/12)*B339</f>
        <v>964.5612135</v>
      </c>
      <c r="D339" s="522">
        <f>Payment!$C$10-C339</f>
        <v>17079.69899</v>
      </c>
      <c r="E339" s="522">
        <f t="shared" si="1"/>
        <v>403819.7396</v>
      </c>
    </row>
    <row r="340" ht="12.75" customHeight="1">
      <c r="A340" s="486">
        <f t="shared" si="2"/>
        <v>338</v>
      </c>
      <c r="B340" s="522">
        <f t="shared" si="3"/>
        <v>403819.7396</v>
      </c>
      <c r="C340" s="522">
        <f>(Payment!$C$6/12)*B340</f>
        <v>925.4202366</v>
      </c>
      <c r="D340" s="522">
        <f>Payment!$C$10-C340</f>
        <v>17118.83996</v>
      </c>
      <c r="E340" s="522">
        <f t="shared" si="1"/>
        <v>386700.8997</v>
      </c>
    </row>
    <row r="341" ht="12.75" customHeight="1">
      <c r="A341" s="486">
        <f t="shared" si="2"/>
        <v>339</v>
      </c>
      <c r="B341" s="522">
        <f t="shared" si="3"/>
        <v>386700.8997</v>
      </c>
      <c r="C341" s="522">
        <f>(Payment!$C$6/12)*B341</f>
        <v>886.1895617</v>
      </c>
      <c r="D341" s="522">
        <f>Payment!$C$10-C341</f>
        <v>17158.07064</v>
      </c>
      <c r="E341" s="522">
        <f t="shared" si="1"/>
        <v>369542.829</v>
      </c>
    </row>
    <row r="342" ht="12.75" customHeight="1">
      <c r="A342" s="486">
        <f t="shared" si="2"/>
        <v>340</v>
      </c>
      <c r="B342" s="522">
        <f t="shared" si="3"/>
        <v>369542.829</v>
      </c>
      <c r="C342" s="522">
        <f>(Payment!$C$6/12)*B342</f>
        <v>846.8689832</v>
      </c>
      <c r="D342" s="522">
        <f>Payment!$C$10-C342</f>
        <v>17197.39122</v>
      </c>
      <c r="E342" s="522">
        <f t="shared" si="1"/>
        <v>352345.4378</v>
      </c>
    </row>
    <row r="343" ht="12.75" customHeight="1">
      <c r="A343" s="486">
        <f t="shared" si="2"/>
        <v>341</v>
      </c>
      <c r="B343" s="522">
        <f t="shared" si="3"/>
        <v>352345.4378</v>
      </c>
      <c r="C343" s="522">
        <f>(Payment!$C$6/12)*B343</f>
        <v>807.458295</v>
      </c>
      <c r="D343" s="522">
        <f>Payment!$C$10-C343</f>
        <v>17236.80191</v>
      </c>
      <c r="E343" s="522">
        <f t="shared" si="1"/>
        <v>335108.6359</v>
      </c>
    </row>
    <row r="344" ht="12.75" customHeight="1">
      <c r="A344" s="486">
        <f t="shared" si="2"/>
        <v>342</v>
      </c>
      <c r="B344" s="522">
        <f t="shared" si="3"/>
        <v>335108.6359</v>
      </c>
      <c r="C344" s="522">
        <f>(Payment!$C$6/12)*B344</f>
        <v>767.9572906</v>
      </c>
      <c r="D344" s="522">
        <f>Payment!$C$10-C344</f>
        <v>17276.30291</v>
      </c>
      <c r="E344" s="522">
        <f t="shared" si="1"/>
        <v>317832.333</v>
      </c>
    </row>
    <row r="345" ht="12.75" customHeight="1">
      <c r="A345" s="486">
        <f t="shared" si="2"/>
        <v>343</v>
      </c>
      <c r="B345" s="522">
        <f t="shared" si="3"/>
        <v>317832.333</v>
      </c>
      <c r="C345" s="522">
        <f>(Payment!$C$6/12)*B345</f>
        <v>728.3657631</v>
      </c>
      <c r="D345" s="522">
        <f>Payment!$C$10-C345</f>
        <v>17315.89444</v>
      </c>
      <c r="E345" s="522">
        <f t="shared" si="1"/>
        <v>300516.4386</v>
      </c>
    </row>
    <row r="346" ht="12.75" customHeight="1">
      <c r="A346" s="486">
        <f t="shared" si="2"/>
        <v>344</v>
      </c>
      <c r="B346" s="522">
        <f t="shared" si="3"/>
        <v>300516.4386</v>
      </c>
      <c r="C346" s="522">
        <f>(Payment!$C$6/12)*B346</f>
        <v>688.683505</v>
      </c>
      <c r="D346" s="522">
        <f>Payment!$C$10-C346</f>
        <v>17355.5767</v>
      </c>
      <c r="E346" s="522">
        <f t="shared" si="1"/>
        <v>283160.8619</v>
      </c>
    </row>
    <row r="347" ht="12.75" customHeight="1">
      <c r="A347" s="486">
        <f t="shared" si="2"/>
        <v>345</v>
      </c>
      <c r="B347" s="522">
        <f t="shared" si="3"/>
        <v>283160.8619</v>
      </c>
      <c r="C347" s="522">
        <f>(Payment!$C$6/12)*B347</f>
        <v>648.9103084</v>
      </c>
      <c r="D347" s="522">
        <f>Payment!$C$10-C347</f>
        <v>17395.34989</v>
      </c>
      <c r="E347" s="522">
        <f t="shared" si="1"/>
        <v>265765.512</v>
      </c>
    </row>
    <row r="348" ht="12.75" customHeight="1">
      <c r="A348" s="486">
        <f t="shared" si="2"/>
        <v>346</v>
      </c>
      <c r="B348" s="522">
        <f t="shared" si="3"/>
        <v>265765.512</v>
      </c>
      <c r="C348" s="522">
        <f>(Payment!$C$6/12)*B348</f>
        <v>609.0459649</v>
      </c>
      <c r="D348" s="522">
        <f>Payment!$C$10-C348</f>
        <v>17435.21424</v>
      </c>
      <c r="E348" s="522">
        <f t="shared" si="1"/>
        <v>248330.2977</v>
      </c>
    </row>
    <row r="349" ht="12.75" customHeight="1">
      <c r="A349" s="486">
        <f t="shared" si="2"/>
        <v>347</v>
      </c>
      <c r="B349" s="522">
        <f t="shared" si="3"/>
        <v>248330.2977</v>
      </c>
      <c r="C349" s="522">
        <f>(Payment!$C$6/12)*B349</f>
        <v>569.0902656</v>
      </c>
      <c r="D349" s="522">
        <f>Payment!$C$10-C349</f>
        <v>17475.16993</v>
      </c>
      <c r="E349" s="522">
        <f t="shared" si="1"/>
        <v>230855.1278</v>
      </c>
    </row>
    <row r="350" ht="12.75" customHeight="1">
      <c r="A350" s="486">
        <f t="shared" si="2"/>
        <v>348</v>
      </c>
      <c r="B350" s="522">
        <f t="shared" si="3"/>
        <v>230855.1278</v>
      </c>
      <c r="C350" s="522">
        <f>(Payment!$C$6/12)*B350</f>
        <v>529.0430012</v>
      </c>
      <c r="D350" s="522">
        <f>Payment!$C$10-C350</f>
        <v>17515.2172</v>
      </c>
      <c r="E350" s="522">
        <f t="shared" si="1"/>
        <v>213339.9106</v>
      </c>
    </row>
    <row r="351" ht="12.75" customHeight="1">
      <c r="A351" s="486">
        <f t="shared" si="2"/>
        <v>349</v>
      </c>
      <c r="B351" s="522">
        <f t="shared" si="3"/>
        <v>213339.9106</v>
      </c>
      <c r="C351" s="522">
        <f>(Payment!$C$6/12)*B351</f>
        <v>488.9039618</v>
      </c>
      <c r="D351" s="522">
        <f>Payment!$C$10-C351</f>
        <v>17555.35624</v>
      </c>
      <c r="E351" s="522">
        <f t="shared" si="1"/>
        <v>195784.5544</v>
      </c>
    </row>
    <row r="352" ht="12.75" customHeight="1">
      <c r="A352" s="486">
        <f t="shared" si="2"/>
        <v>350</v>
      </c>
      <c r="B352" s="522">
        <f t="shared" si="3"/>
        <v>195784.5544</v>
      </c>
      <c r="C352" s="522">
        <f>(Payment!$C$6/12)*B352</f>
        <v>448.6729371</v>
      </c>
      <c r="D352" s="522">
        <f>Payment!$C$10-C352</f>
        <v>17595.58726</v>
      </c>
      <c r="E352" s="522">
        <f t="shared" si="1"/>
        <v>178188.9671</v>
      </c>
    </row>
    <row r="353" ht="12.75" customHeight="1">
      <c r="A353" s="486">
        <f t="shared" si="2"/>
        <v>351</v>
      </c>
      <c r="B353" s="522">
        <f t="shared" si="3"/>
        <v>178188.9671</v>
      </c>
      <c r="C353" s="522">
        <f>(Payment!$C$6/12)*B353</f>
        <v>408.3497163</v>
      </c>
      <c r="D353" s="522">
        <f>Payment!$C$10-C353</f>
        <v>17635.91048</v>
      </c>
      <c r="E353" s="522">
        <f t="shared" si="1"/>
        <v>160553.0566</v>
      </c>
    </row>
    <row r="354" ht="12.75" customHeight="1">
      <c r="A354" s="486">
        <f t="shared" si="2"/>
        <v>352</v>
      </c>
      <c r="B354" s="522">
        <f t="shared" si="3"/>
        <v>160553.0566</v>
      </c>
      <c r="C354" s="522">
        <f>(Payment!$C$6/12)*B354</f>
        <v>367.9340881</v>
      </c>
      <c r="D354" s="522">
        <f>Payment!$C$10-C354</f>
        <v>17676.32611</v>
      </c>
      <c r="E354" s="522">
        <f t="shared" si="1"/>
        <v>142876.7305</v>
      </c>
    </row>
    <row r="355" ht="12.75" customHeight="1">
      <c r="A355" s="486">
        <f t="shared" si="2"/>
        <v>353</v>
      </c>
      <c r="B355" s="522">
        <f t="shared" si="3"/>
        <v>142876.7305</v>
      </c>
      <c r="C355" s="522">
        <f>(Payment!$C$6/12)*B355</f>
        <v>327.4258407</v>
      </c>
      <c r="D355" s="522">
        <f>Payment!$C$10-C355</f>
        <v>17716.83436</v>
      </c>
      <c r="E355" s="522">
        <f t="shared" si="1"/>
        <v>125159.8961</v>
      </c>
    </row>
    <row r="356" ht="12.75" customHeight="1">
      <c r="A356" s="486">
        <f t="shared" si="2"/>
        <v>354</v>
      </c>
      <c r="B356" s="522">
        <f t="shared" si="3"/>
        <v>125159.8961</v>
      </c>
      <c r="C356" s="522">
        <f>(Payment!$C$6/12)*B356</f>
        <v>286.824762</v>
      </c>
      <c r="D356" s="522">
        <f>Payment!$C$10-C356</f>
        <v>17757.43544</v>
      </c>
      <c r="E356" s="522">
        <f t="shared" si="1"/>
        <v>107402.4607</v>
      </c>
    </row>
    <row r="357" ht="12.75" customHeight="1">
      <c r="A357" s="486">
        <f t="shared" si="2"/>
        <v>355</v>
      </c>
      <c r="B357" s="522">
        <f t="shared" si="3"/>
        <v>107402.4607</v>
      </c>
      <c r="C357" s="522">
        <f>(Payment!$C$6/12)*B357</f>
        <v>246.1306391</v>
      </c>
      <c r="D357" s="522">
        <f>Payment!$C$10-C357</f>
        <v>17798.12956</v>
      </c>
      <c r="E357" s="522">
        <f t="shared" si="1"/>
        <v>89604.33115</v>
      </c>
    </row>
    <row r="358" ht="12.75" customHeight="1">
      <c r="A358" s="486">
        <f t="shared" si="2"/>
        <v>356</v>
      </c>
      <c r="B358" s="522">
        <f t="shared" si="3"/>
        <v>89604.33115</v>
      </c>
      <c r="C358" s="522">
        <f>(Payment!$C$6/12)*B358</f>
        <v>205.3432589</v>
      </c>
      <c r="D358" s="522">
        <f>Payment!$C$10-C358</f>
        <v>17838.91694</v>
      </c>
      <c r="E358" s="522">
        <f t="shared" si="1"/>
        <v>71765.4142</v>
      </c>
    </row>
    <row r="359" ht="12.75" customHeight="1">
      <c r="A359" s="486">
        <f t="shared" si="2"/>
        <v>357</v>
      </c>
      <c r="B359" s="522">
        <f t="shared" si="3"/>
        <v>71765.4142</v>
      </c>
      <c r="C359" s="522">
        <f>(Payment!$C$6/12)*B359</f>
        <v>164.4624076</v>
      </c>
      <c r="D359" s="522">
        <f>Payment!$C$10-C359</f>
        <v>17879.79779</v>
      </c>
      <c r="E359" s="522">
        <f t="shared" si="1"/>
        <v>53885.61641</v>
      </c>
    </row>
    <row r="360" ht="12.75" customHeight="1">
      <c r="A360" s="486">
        <f t="shared" si="2"/>
        <v>358</v>
      </c>
      <c r="B360" s="522">
        <f t="shared" si="3"/>
        <v>53885.61641</v>
      </c>
      <c r="C360" s="522">
        <f>(Payment!$C$6/12)*B360</f>
        <v>123.4878709</v>
      </c>
      <c r="D360" s="522">
        <f>Payment!$C$10-C360</f>
        <v>17920.77233</v>
      </c>
      <c r="E360" s="522">
        <f t="shared" si="1"/>
        <v>35964.84408</v>
      </c>
    </row>
    <row r="361" ht="12.75" customHeight="1">
      <c r="A361" s="486">
        <f t="shared" si="2"/>
        <v>359</v>
      </c>
      <c r="B361" s="522">
        <f t="shared" si="3"/>
        <v>35964.84408</v>
      </c>
      <c r="C361" s="522">
        <f>(Payment!$C$6/12)*B361</f>
        <v>82.41943436</v>
      </c>
      <c r="D361" s="522">
        <f>Payment!$C$10-C361</f>
        <v>17961.84077</v>
      </c>
      <c r="E361" s="522">
        <f t="shared" si="1"/>
        <v>18003.00332</v>
      </c>
    </row>
    <row r="362" ht="12.75" customHeight="1">
      <c r="A362" s="486">
        <f t="shared" si="2"/>
        <v>360</v>
      </c>
      <c r="B362" s="522">
        <f t="shared" si="3"/>
        <v>18003.00332</v>
      </c>
      <c r="C362" s="522">
        <f>(Payment!$C$6/12)*B362</f>
        <v>41.2568826</v>
      </c>
      <c r="D362" s="522">
        <f>Payment!$C$10-C362</f>
        <v>18003.00332</v>
      </c>
      <c r="E362" s="522">
        <f t="shared" si="1"/>
        <v>-0.0000002358719939</v>
      </c>
    </row>
    <row r="363" ht="12.75" customHeight="1">
      <c r="A363" s="486"/>
      <c r="B363" s="527"/>
      <c r="C363" s="527"/>
      <c r="D363" s="527"/>
      <c r="E363" s="527"/>
    </row>
    <row r="364" ht="12.75" customHeight="1">
      <c r="A364" s="486"/>
      <c r="B364" s="486"/>
      <c r="C364" s="486"/>
      <c r="D364" s="486"/>
      <c r="E364" s="486"/>
    </row>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G14:I14"/>
    <mergeCell ref="G26:I26"/>
    <mergeCell ref="G38:I38"/>
    <mergeCell ref="G50:I50"/>
    <mergeCell ref="G62:I6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99"/>
    <pageSetUpPr/>
  </sheetPr>
  <sheetViews>
    <sheetView showGridLines="0" workbookViewId="0"/>
  </sheetViews>
  <sheetFormatPr customHeight="1" defaultColWidth="12.63" defaultRowHeight="15.0"/>
  <cols>
    <col customWidth="1" min="1" max="1" width="61.38"/>
    <col customWidth="1" min="2" max="2" width="11.63"/>
    <col customWidth="1" min="3" max="3" width="14.75"/>
    <col customWidth="1" min="4" max="26" width="14.38"/>
  </cols>
  <sheetData>
    <row r="1">
      <c r="A1" s="3" t="s">
        <v>1</v>
      </c>
    </row>
    <row r="2" ht="25.5" customHeight="1">
      <c r="A2" s="18"/>
      <c r="B2" s="18"/>
      <c r="C2" s="18"/>
    </row>
    <row r="3" ht="18.0" customHeight="1">
      <c r="A3" s="19" t="s">
        <v>22</v>
      </c>
      <c r="B3" s="18"/>
      <c r="C3" s="18"/>
    </row>
    <row r="4" ht="15.0" customHeight="1">
      <c r="A4" s="20" t="s">
        <v>23</v>
      </c>
      <c r="B4" s="21"/>
      <c r="C4" s="22"/>
    </row>
    <row r="5" ht="15.0" customHeight="1">
      <c r="A5" s="23" t="s">
        <v>24</v>
      </c>
      <c r="B5" s="23"/>
      <c r="C5" s="24">
        <v>1750.0</v>
      </c>
    </row>
    <row r="6" ht="15.0" customHeight="1">
      <c r="A6" s="23" t="s">
        <v>25</v>
      </c>
      <c r="B6" s="25">
        <f>C6/C5</f>
        <v>742.8571429</v>
      </c>
      <c r="C6" s="24">
        <v>1300000.0</v>
      </c>
    </row>
    <row r="7" ht="15.0" customHeight="1">
      <c r="A7" s="23" t="s">
        <v>26</v>
      </c>
      <c r="B7" s="23"/>
      <c r="C7" s="26">
        <v>1.0</v>
      </c>
    </row>
    <row r="8" ht="15.0" customHeight="1">
      <c r="A8" s="23" t="s">
        <v>27</v>
      </c>
      <c r="B8" s="23"/>
      <c r="C8" s="26">
        <v>5.0</v>
      </c>
    </row>
    <row r="9" ht="15.0" customHeight="1">
      <c r="A9" s="23" t="s">
        <v>28</v>
      </c>
      <c r="B9" s="23"/>
      <c r="C9" s="26">
        <v>1973.0</v>
      </c>
    </row>
    <row r="10" ht="15.0" customHeight="1">
      <c r="A10" s="23" t="s">
        <v>29</v>
      </c>
      <c r="B10" s="23"/>
      <c r="C10" s="26">
        <v>15000.0</v>
      </c>
    </row>
    <row r="11" ht="15.0" customHeight="1">
      <c r="A11" s="27"/>
      <c r="B11" s="27"/>
      <c r="C11" s="27"/>
    </row>
    <row r="12" ht="15.0" customHeight="1">
      <c r="A12" s="28" t="s">
        <v>30</v>
      </c>
      <c r="B12" s="29"/>
      <c r="C12" s="30"/>
    </row>
    <row r="13" ht="15.0" customHeight="1">
      <c r="A13" s="23" t="s">
        <v>31</v>
      </c>
      <c r="B13" s="31"/>
      <c r="C13" s="32">
        <v>2.0E8</v>
      </c>
    </row>
    <row r="14" ht="15.0" customHeight="1">
      <c r="A14" s="23" t="s">
        <v>32</v>
      </c>
      <c r="B14" s="33">
        <f>C14/C13</f>
        <v>0.05</v>
      </c>
      <c r="C14" s="34">
        <v>1.0E7</v>
      </c>
    </row>
    <row r="15" ht="15.0" customHeight="1">
      <c r="A15" s="23" t="s">
        <v>33</v>
      </c>
      <c r="B15" s="35">
        <v>0.5</v>
      </c>
      <c r="C15" s="34">
        <f>B15*C14</f>
        <v>5000000</v>
      </c>
    </row>
    <row r="16" ht="15.0" customHeight="1">
      <c r="A16" s="23" t="s">
        <v>34</v>
      </c>
      <c r="B16" s="35">
        <f>1-B15</f>
        <v>0.5</v>
      </c>
      <c r="C16" s="34">
        <f>C14-C15</f>
        <v>5000000</v>
      </c>
    </row>
    <row r="17" ht="15.0" customHeight="1">
      <c r="A17" s="23" t="s">
        <v>35</v>
      </c>
      <c r="B17" s="31"/>
      <c r="C17" s="34">
        <v>450000.0</v>
      </c>
    </row>
    <row r="18" ht="15.0" customHeight="1">
      <c r="A18" s="23" t="s">
        <v>36</v>
      </c>
      <c r="B18" s="35">
        <v>0.75</v>
      </c>
      <c r="C18" s="34">
        <f>(C13*B18)+C15</f>
        <v>155000000</v>
      </c>
    </row>
    <row r="19" ht="15.0" customHeight="1">
      <c r="A19" s="36" t="s">
        <v>37</v>
      </c>
      <c r="B19" s="36"/>
      <c r="C19" s="37">
        <f>(C13+C14+C17)-C18</f>
        <v>55450000</v>
      </c>
    </row>
    <row r="20" ht="15.0" customHeight="1">
      <c r="A20" s="38"/>
      <c r="B20" s="38"/>
      <c r="C20" s="38"/>
    </row>
    <row r="21" ht="15.0" customHeight="1">
      <c r="A21" s="28" t="s">
        <v>38</v>
      </c>
      <c r="B21" s="29"/>
      <c r="C21" s="30"/>
    </row>
    <row r="22" ht="15.0" customHeight="1">
      <c r="A22" s="23" t="s">
        <v>39</v>
      </c>
      <c r="B22" s="39"/>
      <c r="C22" s="40">
        <f>C13/C5</f>
        <v>114285.7143</v>
      </c>
    </row>
    <row r="23" ht="15.0" customHeight="1">
      <c r="A23" s="39" t="s">
        <v>40</v>
      </c>
      <c r="B23" s="39"/>
      <c r="C23" s="41">
        <f>C13/C6</f>
        <v>153.8461538</v>
      </c>
    </row>
    <row r="24" ht="15.0" customHeight="1">
      <c r="A24" s="39" t="s">
        <v>41</v>
      </c>
      <c r="B24" s="39"/>
      <c r="C24" s="42">
        <f>'Pro Forma Detail'!E34/C13</f>
        <v>0.0535737348</v>
      </c>
    </row>
    <row r="25" ht="15.0" customHeight="1">
      <c r="A25" s="43" t="s">
        <v>42</v>
      </c>
      <c r="B25" s="44"/>
      <c r="C25" s="44"/>
    </row>
    <row r="26" ht="15.0" customHeight="1">
      <c r="A26" s="39" t="s">
        <v>43</v>
      </c>
      <c r="B26" s="39"/>
      <c r="C26" s="45">
        <f>'Pro Forma Detail'!D34</f>
        <v>10061485.2</v>
      </c>
    </row>
    <row r="27" ht="15.0" customHeight="1">
      <c r="A27" s="39" t="s">
        <v>44</v>
      </c>
      <c r="B27" s="39"/>
      <c r="C27" s="45">
        <f>'Global Inputs'!C48</f>
        <v>7593285.967</v>
      </c>
    </row>
    <row r="28" ht="15.0" customHeight="1">
      <c r="A28" s="39" t="s">
        <v>45</v>
      </c>
      <c r="B28" s="39"/>
      <c r="C28" s="45">
        <f>C26-C27</f>
        <v>2468199.233</v>
      </c>
    </row>
    <row r="29" ht="15.0" customHeight="1">
      <c r="A29" s="46" t="s">
        <v>46</v>
      </c>
      <c r="B29" s="46"/>
      <c r="C29" s="47">
        <f>C28/C19</f>
        <v>0.0445121593</v>
      </c>
    </row>
    <row r="30" ht="15.0" customHeight="1">
      <c r="A30" s="48" t="s">
        <v>47</v>
      </c>
      <c r="B30" s="48"/>
      <c r="C30" s="49">
        <f>'Pro Forma Detail'!D41</f>
        <v>0.04451486444</v>
      </c>
    </row>
    <row r="31" ht="15.0" customHeight="1">
      <c r="A31" s="39" t="s">
        <v>48</v>
      </c>
      <c r="B31" s="39"/>
      <c r="C31" s="50">
        <f>C26/C27</f>
        <v>1.325050215</v>
      </c>
    </row>
    <row r="32" ht="15.0" customHeight="1">
      <c r="A32" s="38"/>
      <c r="B32" s="51"/>
      <c r="C32" s="51"/>
    </row>
    <row r="33" ht="15.0" customHeight="1">
      <c r="A33" s="43" t="s">
        <v>49</v>
      </c>
      <c r="B33" s="44"/>
      <c r="C33" s="44"/>
    </row>
    <row r="34" ht="15.0" customHeight="1">
      <c r="A34" s="39" t="s">
        <v>50</v>
      </c>
      <c r="B34" s="39"/>
      <c r="C34" s="52">
        <f>'Pro Forma Detail'!C96</f>
        <v>3.446643556</v>
      </c>
    </row>
    <row r="35" ht="15.0" customHeight="1">
      <c r="A35" s="39" t="s">
        <v>51</v>
      </c>
      <c r="B35" s="39"/>
      <c r="C35" s="52">
        <f>'Pro Forma Detail'!C93</f>
        <v>0.1616723792</v>
      </c>
    </row>
    <row r="36" ht="15.0" customHeight="1">
      <c r="A36" s="53" t="s">
        <v>52</v>
      </c>
      <c r="B36" s="38"/>
      <c r="C36" s="38"/>
    </row>
    <row r="37" ht="15.0" customHeight="1">
      <c r="A37" s="38"/>
      <c r="B37" s="38"/>
      <c r="C37" s="38"/>
    </row>
    <row r="38" ht="15.0" customHeight="1">
      <c r="A38" s="43" t="s">
        <v>53</v>
      </c>
      <c r="B38" s="44"/>
      <c r="C38" s="44"/>
    </row>
    <row r="39" ht="15.0" customHeight="1">
      <c r="A39" s="54" t="s">
        <v>54</v>
      </c>
      <c r="B39" s="55">
        <v>0.99</v>
      </c>
      <c r="C39" s="56">
        <f>B39*-'Global Inputs'!C$19</f>
        <v>-54895500</v>
      </c>
    </row>
    <row r="40" ht="15.0" customHeight="1">
      <c r="A40" s="54" t="s">
        <v>55</v>
      </c>
      <c r="B40" s="55">
        <v>0.01</v>
      </c>
      <c r="C40" s="56">
        <f>B40*-'Global Inputs'!C$19</f>
        <v>-554500</v>
      </c>
    </row>
    <row r="41" ht="15.0" customHeight="1">
      <c r="A41" s="38"/>
      <c r="B41" s="38"/>
      <c r="C41" s="38"/>
    </row>
    <row r="42" ht="15.0" customHeight="1">
      <c r="A42" s="43" t="s">
        <v>56</v>
      </c>
      <c r="B42" s="44"/>
      <c r="C42" s="44"/>
    </row>
    <row r="43" ht="15.0" customHeight="1">
      <c r="A43" s="57" t="s">
        <v>57</v>
      </c>
      <c r="B43" s="58"/>
      <c r="C43" s="59">
        <v>0.0275</v>
      </c>
    </row>
    <row r="44" ht="15.0" customHeight="1">
      <c r="A44" s="57" t="s">
        <v>58</v>
      </c>
      <c r="B44" s="58"/>
      <c r="C44" s="60">
        <v>30.0</v>
      </c>
    </row>
    <row r="45" ht="15.0" customHeight="1">
      <c r="A45" s="57" t="s">
        <v>59</v>
      </c>
      <c r="B45" s="58"/>
      <c r="C45" s="60">
        <v>12.0</v>
      </c>
    </row>
    <row r="46" ht="15.0" customHeight="1">
      <c r="A46" s="57" t="s">
        <v>60</v>
      </c>
      <c r="B46" s="58"/>
      <c r="C46" s="61">
        <f>'Global Inputs'!C18</f>
        <v>155000000</v>
      </c>
    </row>
    <row r="47" ht="15.0" customHeight="1">
      <c r="A47" s="57" t="s">
        <v>61</v>
      </c>
      <c r="B47" s="58"/>
      <c r="C47" s="62">
        <f>-PMT(C43/C45,C44*C45,C46,0,0)</f>
        <v>632773.8305</v>
      </c>
    </row>
    <row r="48" ht="15.0" customHeight="1">
      <c r="A48" s="63" t="s">
        <v>62</v>
      </c>
      <c r="B48" s="58"/>
      <c r="C48" s="64">
        <f>C45*C47</f>
        <v>7593285.967</v>
      </c>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2"/>
    <mergeCell ref="A3:C3"/>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99"/>
    <pageSetUpPr/>
  </sheetPr>
  <sheetViews>
    <sheetView showGridLines="0" workbookViewId="0"/>
  </sheetViews>
  <sheetFormatPr customHeight="1" defaultColWidth="12.63" defaultRowHeight="15.0"/>
  <cols>
    <col customWidth="1" min="1" max="1" width="3.0"/>
    <col customWidth="1" min="2" max="2" width="19.25"/>
    <col customWidth="1" min="3" max="3" width="12.88"/>
    <col customWidth="1" min="4" max="4" width="15.88"/>
    <col customWidth="1" min="5" max="7" width="13.88"/>
    <col customWidth="1" min="8" max="8" width="15.13"/>
    <col customWidth="1" min="9" max="9" width="13.75"/>
    <col customWidth="1" min="10" max="10" width="8.75"/>
    <col customWidth="1" min="11" max="11" width="12.63"/>
    <col customWidth="1" min="12" max="12" width="12.75"/>
    <col customWidth="1" min="13" max="13" width="8.75"/>
    <col customWidth="1" min="14" max="26" width="14.38"/>
  </cols>
  <sheetData>
    <row r="1" ht="12.75" customHeight="1">
      <c r="A1" s="65" t="s">
        <v>7</v>
      </c>
      <c r="B1" s="38"/>
      <c r="C1" s="38"/>
      <c r="D1" s="38"/>
      <c r="E1" s="38"/>
      <c r="F1" s="38"/>
      <c r="G1" s="38"/>
      <c r="H1" s="38"/>
      <c r="I1" s="38"/>
      <c r="J1" s="38"/>
      <c r="K1" s="38"/>
      <c r="L1" s="38"/>
      <c r="M1" s="38"/>
    </row>
    <row r="2" ht="12.75" customHeight="1">
      <c r="A2" s="38"/>
      <c r="B2" s="38"/>
      <c r="C2" s="38"/>
      <c r="D2" s="38"/>
      <c r="E2" s="38"/>
      <c r="F2" s="38"/>
      <c r="G2" s="38"/>
      <c r="H2" s="38"/>
      <c r="I2" s="38"/>
      <c r="J2" s="38"/>
      <c r="K2" s="38"/>
      <c r="L2" s="38"/>
      <c r="M2" s="38"/>
    </row>
    <row r="3" ht="12.75" customHeight="1">
      <c r="A3" s="66"/>
      <c r="B3" s="38"/>
      <c r="C3" s="38"/>
      <c r="D3" s="38"/>
      <c r="E3" s="38"/>
      <c r="F3" s="38"/>
      <c r="G3" s="38"/>
      <c r="H3" s="38"/>
      <c r="I3" s="38"/>
      <c r="J3" s="38"/>
      <c r="K3" s="66"/>
      <c r="L3" s="66"/>
      <c r="M3" s="66"/>
    </row>
    <row r="4" ht="12.75" customHeight="1">
      <c r="A4" s="38"/>
      <c r="B4" s="65" t="s">
        <v>63</v>
      </c>
      <c r="C4" s="58" t="s">
        <v>64</v>
      </c>
      <c r="D4" s="38" t="s">
        <v>65</v>
      </c>
      <c r="E4" s="38"/>
      <c r="F4" s="38"/>
      <c r="G4" s="38"/>
      <c r="H4" s="38"/>
      <c r="I4" s="38"/>
      <c r="J4" s="38"/>
      <c r="K4" s="38"/>
      <c r="L4" s="38"/>
      <c r="M4" s="38"/>
    </row>
    <row r="5" ht="12.75" customHeight="1">
      <c r="A5" s="38"/>
      <c r="B5" s="38"/>
      <c r="C5" s="38"/>
      <c r="D5" s="38"/>
      <c r="E5" s="38"/>
      <c r="F5" s="38"/>
      <c r="G5" s="38"/>
      <c r="H5" s="38"/>
      <c r="I5" s="38"/>
      <c r="J5" s="38"/>
      <c r="K5" s="38"/>
      <c r="L5" s="38"/>
      <c r="M5" s="38"/>
    </row>
    <row r="6" ht="12.75" customHeight="1">
      <c r="A6" s="38"/>
      <c r="B6" s="38"/>
      <c r="C6" s="38"/>
      <c r="D6" s="38"/>
      <c r="E6" s="38"/>
      <c r="F6" s="38"/>
      <c r="G6" s="38"/>
      <c r="H6" s="38"/>
      <c r="I6" s="38"/>
      <c r="J6" s="38"/>
      <c r="K6" s="38"/>
      <c r="L6" s="38"/>
      <c r="M6" s="38"/>
    </row>
    <row r="7" ht="30.75" customHeight="1">
      <c r="A7" s="67"/>
      <c r="B7" s="68" t="s">
        <v>4</v>
      </c>
      <c r="C7" s="68" t="s">
        <v>66</v>
      </c>
      <c r="D7" s="68" t="s">
        <v>67</v>
      </c>
      <c r="E7" s="68" t="s">
        <v>68</v>
      </c>
      <c r="F7" s="68" t="s">
        <v>69</v>
      </c>
      <c r="G7" s="68" t="s">
        <v>70</v>
      </c>
      <c r="H7" s="68" t="s">
        <v>71</v>
      </c>
      <c r="I7" s="69" t="s">
        <v>72</v>
      </c>
      <c r="J7" s="8"/>
      <c r="K7" s="68" t="s">
        <v>73</v>
      </c>
      <c r="L7" s="68" t="s">
        <v>74</v>
      </c>
      <c r="M7" s="67"/>
    </row>
    <row r="8" ht="12.75" customHeight="1">
      <c r="A8" s="38"/>
      <c r="B8" s="58" t="s">
        <v>75</v>
      </c>
      <c r="C8" s="70">
        <v>200.0</v>
      </c>
      <c r="D8" s="71">
        <v>545.0</v>
      </c>
      <c r="E8" s="72">
        <f t="shared" ref="E8:E12" si="1">D8*12*C8</f>
        <v>1308000</v>
      </c>
      <c r="F8" s="73">
        <f t="shared" ref="F8:F12" si="2">(H8-E8)/E8</f>
        <v>0.4</v>
      </c>
      <c r="G8" s="71">
        <f t="shared" ref="G8:G12" si="3">D8*1.4</f>
        <v>763</v>
      </c>
      <c r="H8" s="72">
        <f t="shared" ref="H8:H12" si="4">G8*12*C8</f>
        <v>1831200</v>
      </c>
      <c r="I8" s="72">
        <f t="shared" ref="I8:I12" si="5">E8*J8+E8</f>
        <v>1373400</v>
      </c>
      <c r="J8" s="74">
        <v>0.05</v>
      </c>
      <c r="K8" s="75">
        <f t="shared" ref="K8:K12" si="6">D8*J8+D8</f>
        <v>572.25</v>
      </c>
      <c r="L8" s="76">
        <f t="shared" ref="L8:L12" si="7">G8-D8</f>
        <v>218</v>
      </c>
      <c r="M8" s="38"/>
    </row>
    <row r="9" ht="12.75" customHeight="1">
      <c r="A9" s="38"/>
      <c r="B9" s="58" t="s">
        <v>76</v>
      </c>
      <c r="C9" s="77">
        <v>500.0</v>
      </c>
      <c r="D9" s="71">
        <v>585.0</v>
      </c>
      <c r="E9" s="72">
        <f t="shared" si="1"/>
        <v>3510000</v>
      </c>
      <c r="F9" s="73">
        <f t="shared" si="2"/>
        <v>0.4</v>
      </c>
      <c r="G9" s="71">
        <f t="shared" si="3"/>
        <v>819</v>
      </c>
      <c r="H9" s="72">
        <f t="shared" si="4"/>
        <v>4914000</v>
      </c>
      <c r="I9" s="72">
        <f t="shared" si="5"/>
        <v>3685500</v>
      </c>
      <c r="J9" s="74">
        <v>0.05</v>
      </c>
      <c r="K9" s="75">
        <f t="shared" si="6"/>
        <v>614.25</v>
      </c>
      <c r="L9" s="76">
        <f t="shared" si="7"/>
        <v>234</v>
      </c>
      <c r="M9" s="38"/>
    </row>
    <row r="10" ht="12.75" customHeight="1">
      <c r="A10" s="38"/>
      <c r="B10" s="58" t="s">
        <v>77</v>
      </c>
      <c r="C10" s="77">
        <v>500.0</v>
      </c>
      <c r="D10" s="71">
        <v>675.0</v>
      </c>
      <c r="E10" s="72">
        <f t="shared" si="1"/>
        <v>4050000</v>
      </c>
      <c r="F10" s="73">
        <f t="shared" si="2"/>
        <v>0.4</v>
      </c>
      <c r="G10" s="71">
        <f t="shared" si="3"/>
        <v>945</v>
      </c>
      <c r="H10" s="72">
        <f t="shared" si="4"/>
        <v>5670000</v>
      </c>
      <c r="I10" s="72">
        <f t="shared" si="5"/>
        <v>4252500</v>
      </c>
      <c r="J10" s="74">
        <v>0.05</v>
      </c>
      <c r="K10" s="75">
        <f t="shared" si="6"/>
        <v>708.75</v>
      </c>
      <c r="L10" s="76">
        <f t="shared" si="7"/>
        <v>270</v>
      </c>
      <c r="M10" s="38"/>
    </row>
    <row r="11" ht="12.75" customHeight="1">
      <c r="A11" s="38"/>
      <c r="B11" s="58" t="s">
        <v>78</v>
      </c>
      <c r="C11" s="77">
        <v>400.0</v>
      </c>
      <c r="D11" s="71">
        <v>845.0</v>
      </c>
      <c r="E11" s="72">
        <f t="shared" si="1"/>
        <v>4056000</v>
      </c>
      <c r="F11" s="73">
        <f t="shared" si="2"/>
        <v>0.4</v>
      </c>
      <c r="G11" s="71">
        <f t="shared" si="3"/>
        <v>1183</v>
      </c>
      <c r="H11" s="72">
        <f t="shared" si="4"/>
        <v>5678400</v>
      </c>
      <c r="I11" s="72">
        <f t="shared" si="5"/>
        <v>4258800</v>
      </c>
      <c r="J11" s="74">
        <v>0.05</v>
      </c>
      <c r="K11" s="75">
        <f t="shared" si="6"/>
        <v>887.25</v>
      </c>
      <c r="L11" s="76">
        <f t="shared" si="7"/>
        <v>338</v>
      </c>
      <c r="M11" s="38"/>
    </row>
    <row r="12" ht="12.75" customHeight="1">
      <c r="A12" s="38"/>
      <c r="B12" s="58" t="s">
        <v>79</v>
      </c>
      <c r="C12" s="77">
        <v>150.0</v>
      </c>
      <c r="D12" s="71">
        <v>950.0</v>
      </c>
      <c r="E12" s="72">
        <f t="shared" si="1"/>
        <v>1710000</v>
      </c>
      <c r="F12" s="73">
        <f t="shared" si="2"/>
        <v>0.4</v>
      </c>
      <c r="G12" s="71">
        <f t="shared" si="3"/>
        <v>1330</v>
      </c>
      <c r="H12" s="72">
        <f t="shared" si="4"/>
        <v>2394000</v>
      </c>
      <c r="I12" s="72">
        <f t="shared" si="5"/>
        <v>1795500</v>
      </c>
      <c r="J12" s="74">
        <v>0.05</v>
      </c>
      <c r="K12" s="75">
        <f t="shared" si="6"/>
        <v>997.5</v>
      </c>
      <c r="L12" s="76">
        <f t="shared" si="7"/>
        <v>380</v>
      </c>
      <c r="M12" s="38"/>
    </row>
    <row r="13" ht="12.75" customHeight="1">
      <c r="A13" s="38"/>
      <c r="B13" s="38"/>
      <c r="C13" s="78">
        <f t="shared" ref="C13:E13" si="8">SUM(C8:C12)</f>
        <v>1750</v>
      </c>
      <c r="D13" s="79">
        <f t="shared" si="8"/>
        <v>3600</v>
      </c>
      <c r="E13" s="79">
        <f t="shared" si="8"/>
        <v>14634000</v>
      </c>
      <c r="F13" s="79"/>
      <c r="G13" s="80">
        <f>AVERAGE(G8:G12)</f>
        <v>1008</v>
      </c>
      <c r="H13" s="81">
        <f t="shared" ref="H13:I13" si="9">SUM(H8:H12)</f>
        <v>20487600</v>
      </c>
      <c r="I13" s="79">
        <f t="shared" si="9"/>
        <v>15365700</v>
      </c>
      <c r="J13" s="65"/>
      <c r="K13" s="38"/>
      <c r="L13" s="82">
        <f>AVERAGE(L8:L12)</f>
        <v>288</v>
      </c>
      <c r="M13" s="38"/>
    </row>
    <row r="14" ht="12.75" customHeight="1">
      <c r="A14" s="38"/>
      <c r="B14" s="38"/>
      <c r="C14" s="38"/>
      <c r="D14" s="83"/>
      <c r="E14" s="83"/>
      <c r="F14" s="83"/>
      <c r="G14" s="83"/>
      <c r="H14" s="83"/>
      <c r="I14" s="83"/>
      <c r="J14" s="38"/>
      <c r="K14" s="38"/>
      <c r="L14" s="38"/>
      <c r="M14" s="38"/>
    </row>
    <row r="15" ht="12.75" customHeight="1">
      <c r="A15" s="38"/>
      <c r="B15" s="38"/>
      <c r="C15" s="38"/>
      <c r="D15" s="83"/>
      <c r="E15" s="83"/>
      <c r="F15" s="83"/>
      <c r="G15" s="83"/>
      <c r="H15" s="83"/>
      <c r="I15" s="83"/>
      <c r="J15" s="38"/>
      <c r="K15" s="38"/>
      <c r="L15" s="38"/>
      <c r="M15" s="38"/>
    </row>
    <row r="16" ht="12.75" customHeight="1">
      <c r="A16" s="38"/>
      <c r="B16" s="38"/>
      <c r="C16" s="38"/>
      <c r="D16" s="83"/>
      <c r="E16" s="83"/>
      <c r="F16" s="83"/>
      <c r="G16" s="83"/>
      <c r="H16" s="83"/>
      <c r="I16" s="83"/>
      <c r="J16" s="38"/>
      <c r="K16" s="38"/>
      <c r="L16" s="38"/>
      <c r="M16" s="38"/>
    </row>
    <row r="17" ht="27.75" customHeight="1">
      <c r="A17" s="66"/>
      <c r="B17" s="84" t="s">
        <v>80</v>
      </c>
      <c r="C17" s="85" t="s">
        <v>81</v>
      </c>
      <c r="D17" s="85" t="s">
        <v>82</v>
      </c>
      <c r="E17" s="86"/>
      <c r="F17" s="86"/>
      <c r="G17" s="86"/>
      <c r="H17" s="86"/>
      <c r="I17" s="86"/>
      <c r="J17" s="66"/>
      <c r="K17" s="66"/>
      <c r="L17" s="66"/>
      <c r="M17" s="66"/>
    </row>
    <row r="18" ht="12.75" customHeight="1">
      <c r="A18" s="38"/>
      <c r="B18" s="87">
        <v>1750.0</v>
      </c>
      <c r="C18" s="88">
        <f>E13</f>
        <v>14634000</v>
      </c>
      <c r="D18" s="88">
        <f>I13</f>
        <v>15365700</v>
      </c>
      <c r="E18" s="83"/>
      <c r="F18" s="83"/>
      <c r="G18" s="83"/>
      <c r="H18" s="83"/>
      <c r="I18" s="83"/>
      <c r="J18" s="38"/>
      <c r="K18" s="38"/>
      <c r="L18" s="38"/>
      <c r="M18" s="38"/>
    </row>
    <row r="19" ht="12.75" customHeight="1">
      <c r="A19" s="38"/>
      <c r="B19" s="38"/>
      <c r="C19" s="38"/>
      <c r="D19" s="38"/>
      <c r="E19" s="38"/>
      <c r="F19" s="38"/>
      <c r="G19" s="38"/>
      <c r="H19" s="38"/>
      <c r="I19" s="38"/>
      <c r="J19" s="38"/>
      <c r="K19" s="38"/>
      <c r="L19" s="38"/>
      <c r="M19" s="38"/>
    </row>
    <row r="20" ht="12.75" customHeight="1">
      <c r="A20" s="38"/>
      <c r="B20" s="89"/>
      <c r="C20" s="89"/>
      <c r="D20" s="89"/>
      <c r="E20" s="89"/>
      <c r="F20" s="89"/>
      <c r="G20" s="89"/>
      <c r="H20" s="89"/>
      <c r="I20" s="89"/>
      <c r="J20" s="89"/>
      <c r="K20" s="89"/>
      <c r="L20" s="38"/>
      <c r="M20" s="38"/>
    </row>
    <row r="21" ht="12.75" customHeight="1">
      <c r="A21" s="38"/>
      <c r="B21" s="89"/>
      <c r="C21" s="89"/>
      <c r="D21" s="89"/>
      <c r="E21" s="89"/>
      <c r="F21" s="89"/>
      <c r="G21" s="89"/>
      <c r="H21" s="89"/>
      <c r="I21" s="89"/>
      <c r="J21" s="89"/>
      <c r="K21" s="89"/>
      <c r="L21" s="38"/>
      <c r="M21" s="38"/>
    </row>
    <row r="22" ht="12.75" customHeight="1">
      <c r="A22" s="38"/>
      <c r="B22" s="89"/>
      <c r="C22" s="89"/>
      <c r="D22" s="89"/>
      <c r="E22" s="89"/>
      <c r="F22" s="89"/>
      <c r="G22" s="89"/>
      <c r="H22" s="89"/>
      <c r="I22" s="89"/>
      <c r="J22" s="89"/>
      <c r="K22" s="89"/>
      <c r="L22" s="38"/>
      <c r="M22" s="38"/>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I7:J7"/>
  </mergeCells>
  <dataValidations>
    <dataValidation type="list" allowBlank="1" showErrorMessage="1" sqref="C4">
      <formula1>"Detailed,High Level"</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99"/>
    <pageSetUpPr/>
  </sheetPr>
  <sheetViews>
    <sheetView showGridLines="0" workbookViewId="0"/>
  </sheetViews>
  <sheetFormatPr customHeight="1" defaultColWidth="12.63" defaultRowHeight="15.0"/>
  <cols>
    <col customWidth="1" min="1" max="1" width="2.63"/>
    <col customWidth="1" min="2" max="2" width="35.63"/>
    <col customWidth="1" min="3" max="3" width="12.38"/>
    <col customWidth="1" min="4" max="13" width="13.75"/>
    <col customWidth="1" min="14" max="26" width="8.75"/>
  </cols>
  <sheetData>
    <row r="1" ht="14.25" customHeight="1">
      <c r="A1" s="38"/>
      <c r="B1" s="38"/>
      <c r="C1" s="38"/>
      <c r="D1" s="90" t="s">
        <v>83</v>
      </c>
      <c r="E1" s="91"/>
      <c r="F1" s="91"/>
      <c r="G1" s="91"/>
      <c r="H1" s="91"/>
      <c r="I1" s="91"/>
      <c r="J1" s="91"/>
      <c r="K1" s="91"/>
      <c r="L1" s="91"/>
      <c r="M1" s="92"/>
      <c r="N1" s="38"/>
      <c r="O1" s="38"/>
      <c r="P1" s="38"/>
      <c r="Q1" s="38"/>
      <c r="R1" s="38"/>
      <c r="S1" s="38"/>
      <c r="T1" s="38"/>
      <c r="U1" s="38"/>
      <c r="V1" s="38"/>
      <c r="W1" s="38"/>
      <c r="X1" s="38"/>
      <c r="Y1" s="38"/>
      <c r="Z1" s="38"/>
    </row>
    <row r="2" ht="14.25" customHeight="1">
      <c r="A2" s="38"/>
      <c r="B2" s="38"/>
      <c r="C2" s="38" t="s">
        <v>84</v>
      </c>
      <c r="D2" s="93">
        <v>1.0</v>
      </c>
      <c r="E2" s="94">
        <v>2.0</v>
      </c>
      <c r="F2" s="95">
        <v>3.0</v>
      </c>
      <c r="G2" s="95">
        <v>4.0</v>
      </c>
      <c r="H2" s="95">
        <v>5.0</v>
      </c>
      <c r="I2" s="95">
        <v>6.0</v>
      </c>
      <c r="J2" s="95">
        <v>7.0</v>
      </c>
      <c r="K2" s="95">
        <v>8.0</v>
      </c>
      <c r="L2" s="95">
        <v>9.0</v>
      </c>
      <c r="M2" s="95">
        <v>10.0</v>
      </c>
      <c r="N2" s="38"/>
      <c r="O2" s="38"/>
      <c r="P2" s="38"/>
      <c r="Q2" s="38"/>
      <c r="R2" s="38"/>
      <c r="S2" s="38"/>
      <c r="T2" s="38"/>
      <c r="U2" s="38"/>
      <c r="V2" s="38"/>
      <c r="W2" s="38"/>
      <c r="X2" s="38"/>
      <c r="Y2" s="38"/>
      <c r="Z2" s="38"/>
    </row>
    <row r="3" ht="14.25" customHeight="1">
      <c r="A3" s="38"/>
      <c r="B3" s="96" t="s">
        <v>85</v>
      </c>
      <c r="C3" s="97"/>
      <c r="D3" s="98">
        <f>IF('Pro Forma Detail'!E3&gt;'Pro Forma Detail'!$D66,0,IF('Pro Forma Detail'!E17=Debt!$K12,IF(Debt!$K$12&gt;'Pro Forma Detail'!E17,0,'Global Inputs'!$C46-'Pro Forma Detail'!E35),IF(Debt!$K$12&gt;'Pro Forma Detail'!E17,0,IF('Pro Forma Detail'!E3='Pro Forma Detail'!$D66,'Global Inputs'!$C46-SUM('Pro Forma Detail'!$E35:E35)+SUM(Debt!$R:$R),'Global Inputs'!$C46-SUM('Pro Forma Detail'!$E35:E35)))))</f>
        <v>151626909.9</v>
      </c>
      <c r="E3" s="98">
        <f>IF('Pro Forma Detail'!F3&gt;'Pro Forma Detail'!$D66,0,IF('Pro Forma Detail'!F17=Debt!$K12,IF(Debt!$K$12&gt;'Pro Forma Detail'!F17,0,'Global Inputs'!$C46-'Pro Forma Detail'!F35),IF(Debt!$K$12&gt;'Pro Forma Detail'!F17,0,IF('Pro Forma Detail'!F3='Pro Forma Detail'!$D66,'Global Inputs'!$C46-SUM('Pro Forma Detail'!$E35:F35)+SUM(Debt!$R:$R),'Global Inputs'!$C46-SUM('Pro Forma Detail'!$E35:F35)))))</f>
        <v>148159881.7</v>
      </c>
      <c r="F3" s="98">
        <f>IF('Pro Forma Detail'!G3&gt;'Pro Forma Detail'!$D66,0,IF('Pro Forma Detail'!G17=Debt!$K12,IF(Debt!$K$12&gt;'Pro Forma Detail'!G17,0,'Global Inputs'!$C46-'Pro Forma Detail'!G35),IF(Debt!$K$12&gt;'Pro Forma Detail'!G17,0,IF('Pro Forma Detail'!G3='Pro Forma Detail'!$D66,'Global Inputs'!$C46-SUM('Pro Forma Detail'!$E35:G35)+SUM(Debt!$R:$R),'Global Inputs'!$C46-SUM('Pro Forma Detail'!$E35:G35)))))</f>
        <v>144596299.2</v>
      </c>
      <c r="G3" s="98">
        <f>IF('Pro Forma Detail'!H3&gt;'Pro Forma Detail'!$D66,0,IF('Pro Forma Detail'!H17=Debt!$K12,IF(Debt!$K$12&gt;'Pro Forma Detail'!H17,0,'Global Inputs'!$C46-'Pro Forma Detail'!H35),IF(Debt!$K$12&gt;'Pro Forma Detail'!H17,0,IF('Pro Forma Detail'!H3='Pro Forma Detail'!$D66,'Global Inputs'!$C46-SUM('Pro Forma Detail'!$E35:H35)+SUM(Debt!$R:$R),'Global Inputs'!$C46-SUM('Pro Forma Detail'!$E35:H35)))))</f>
        <v>141860045.7</v>
      </c>
      <c r="H3" s="98">
        <f>IF('Pro Forma Detail'!I3&gt;'Pro Forma Detail'!$D66,0,IF('Pro Forma Detail'!I17=Debt!$K12,IF(Debt!$K$12&gt;'Pro Forma Detail'!I17,0,'Global Inputs'!$C46-'Pro Forma Detail'!I35),IF(Debt!$K$12&gt;'Pro Forma Detail'!I17,0,IF('Pro Forma Detail'!I3='Pro Forma Detail'!$D66,'Global Inputs'!$C46-SUM('Pro Forma Detail'!$E35:I35)+SUM(Debt!$R:$R),'Global Inputs'!$C46-SUM('Pro Forma Detail'!$E35:I35)))))</f>
        <v>0</v>
      </c>
      <c r="I3" s="98">
        <f>IF('Pro Forma Detail'!J3&gt;'Pro Forma Detail'!$D66,0,IF('Pro Forma Detail'!J17=Debt!$K12,IF(Debt!$K$12&gt;'Pro Forma Detail'!J17,0,'Global Inputs'!$C46-'Pro Forma Detail'!J35),IF(Debt!$K$12&gt;'Pro Forma Detail'!J17,0,IF('Pro Forma Detail'!J3='Pro Forma Detail'!$D66,'Global Inputs'!$C46-SUM('Pro Forma Detail'!$E35:J35)+SUM(Debt!$R:$R),'Global Inputs'!$C46-SUM('Pro Forma Detail'!$E35:J35)))))</f>
        <v>0</v>
      </c>
      <c r="J3" s="98">
        <f>IF('Pro Forma Detail'!K3&gt;'Pro Forma Detail'!$D66,0,IF('Pro Forma Detail'!K17=Debt!$K12,IF(Debt!$K$12&gt;'Pro Forma Detail'!K17,0,'Global Inputs'!$C46-'Pro Forma Detail'!K35),IF(Debt!$K$12&gt;'Pro Forma Detail'!K17,0,IF('Pro Forma Detail'!K3='Pro Forma Detail'!$D66,'Global Inputs'!$C46-SUM('Pro Forma Detail'!$E35:K35)+SUM(Debt!$R:$R),'Global Inputs'!$C46-SUM('Pro Forma Detail'!$E35:K35)))))</f>
        <v>0</v>
      </c>
      <c r="K3" s="98">
        <f>IF('Pro Forma Detail'!L3&gt;'Pro Forma Detail'!$D66,0,IF('Pro Forma Detail'!L17=Debt!$K12,IF(Debt!$K$12&gt;'Pro Forma Detail'!L17,0,'Global Inputs'!$C46-'Pro Forma Detail'!L35),IF(Debt!$K$12&gt;'Pro Forma Detail'!L17,0,IF('Pro Forma Detail'!L3='Pro Forma Detail'!$D66,'Global Inputs'!$C46-SUM('Pro Forma Detail'!$E35:L35)+SUM(Debt!$R:$R),'Global Inputs'!$C46-SUM('Pro Forma Detail'!$E35:L35)))))</f>
        <v>0</v>
      </c>
      <c r="L3" s="98">
        <f>IF('Pro Forma Detail'!M3&gt;'Pro Forma Detail'!$D66,0,IF('Pro Forma Detail'!M17=Debt!$K12,IF(Debt!$K$12&gt;'Pro Forma Detail'!M17,0,'Global Inputs'!$C46-'Pro Forma Detail'!M35),IF(Debt!$K$12&gt;'Pro Forma Detail'!M17,0,IF('Pro Forma Detail'!M3='Pro Forma Detail'!$D66,'Global Inputs'!$C46-SUM('Pro Forma Detail'!$E35:M35)+SUM(Debt!$R:$R),'Global Inputs'!$C46-SUM('Pro Forma Detail'!$E35:M35)))))</f>
        <v>0</v>
      </c>
      <c r="M3" s="98">
        <f>IF('Pro Forma Detail'!N3&gt;'Pro Forma Detail'!$D66,0,IF('Pro Forma Detail'!N17=Debt!$K12,IF(Debt!$K$12&gt;'Pro Forma Detail'!N17,0,'Global Inputs'!$C46-'Pro Forma Detail'!N35),IF(Debt!$K$12&gt;'Pro Forma Detail'!N17,0,IF('Pro Forma Detail'!N3='Pro Forma Detail'!$D66,'Global Inputs'!$C46-SUM('Pro Forma Detail'!$E35:N35)+SUM(Debt!$R:$R),'Global Inputs'!$C46-SUM('Pro Forma Detail'!$E35:N35)))))</f>
        <v>0</v>
      </c>
      <c r="N3" s="38"/>
      <c r="O3" s="38"/>
      <c r="P3" s="38"/>
      <c r="Q3" s="38"/>
      <c r="R3" s="38"/>
      <c r="S3" s="38"/>
      <c r="T3" s="38"/>
      <c r="U3" s="38"/>
      <c r="V3" s="38"/>
      <c r="W3" s="38"/>
      <c r="X3" s="38"/>
      <c r="Y3" s="38"/>
      <c r="Z3" s="38"/>
    </row>
    <row r="4" ht="14.25" customHeight="1">
      <c r="A4" s="38"/>
      <c r="B4" s="96" t="s">
        <v>86</v>
      </c>
      <c r="C4" s="99"/>
      <c r="D4" s="98">
        <f>IF('Pro Forma Detail'!E3='Pro Forma Detail'!$D66,'Debt ReFi'!$B3,IF('Pro Forma Detail'!E3&lt;='Pro Forma Detail'!$D66,0,'Debt ReFi'!$B3-SUMIFS('Pro Forma Detail'!$E35:$N35,'Pro Forma Detail'!$E3:$N3,"&gt;"&amp;'Pro Forma Detail'!$D66,'Pro Forma Detail'!$E3:$N3,"&lt;"&amp;'Pro Forma Detail'!E3+1)))</f>
        <v>0</v>
      </c>
      <c r="E4" s="98">
        <f>IF('Pro Forma Detail'!F3='Pro Forma Detail'!$D66,'Debt ReFi'!$B3,IF('Pro Forma Detail'!F3&lt;='Pro Forma Detail'!$D66,0,'Debt ReFi'!$B3-SUMIFS('Pro Forma Detail'!$E35:$N35,'Pro Forma Detail'!$E3:$N3,"&gt;"&amp;'Pro Forma Detail'!$D66,'Pro Forma Detail'!$E3:$N3,"&lt;"&amp;'Pro Forma Detail'!F3+1)))</f>
        <v>0</v>
      </c>
      <c r="F4" s="98">
        <f>IF('Pro Forma Detail'!G3='Pro Forma Detail'!$D66,'Debt ReFi'!$B3,IF('Pro Forma Detail'!G3&lt;='Pro Forma Detail'!$D66,0,'Debt ReFi'!$B3-SUMIFS('Pro Forma Detail'!$E35:$N35,'Pro Forma Detail'!$E3:$N3,"&gt;"&amp;'Pro Forma Detail'!$D66,'Pro Forma Detail'!$E3:$N3,"&lt;"&amp;'Pro Forma Detail'!G3+1)))</f>
        <v>0</v>
      </c>
      <c r="G4" s="98">
        <f>IF('Pro Forma Detail'!H3='Pro Forma Detail'!$D66,'Debt ReFi'!$B3,IF('Pro Forma Detail'!H3&lt;='Pro Forma Detail'!$D66,0,'Debt ReFi'!$B3-SUMIFS('Pro Forma Detail'!$E35:$N35,'Pro Forma Detail'!$E3:$N3,"&gt;"&amp;'Pro Forma Detail'!$D66,'Pro Forma Detail'!$E3:$N3,"&lt;"&amp;'Pro Forma Detail'!H3+1)))</f>
        <v>119869766.4</v>
      </c>
      <c r="H4" s="98">
        <f>IF('Pro Forma Detail'!I3='Pro Forma Detail'!$D66,'Debt ReFi'!$B3,IF('Pro Forma Detail'!I3&lt;='Pro Forma Detail'!$D66,0,'Debt ReFi'!$B3-SUMIFS('Pro Forma Detail'!$E35:$N35,'Pro Forma Detail'!$E3:$N3,"&gt;"&amp;'Pro Forma Detail'!$D66,'Pro Forma Detail'!$E3:$N3,"&lt;"&amp;'Pro Forma Detail'!I3+1)))</f>
        <v>117261175.9</v>
      </c>
      <c r="I4" s="98">
        <f>IF('Pro Forma Detail'!J3='Pro Forma Detail'!$D66,'Debt ReFi'!$B3,IF('Pro Forma Detail'!J3&lt;='Pro Forma Detail'!$D66,0,'Debt ReFi'!$B3-SUMIFS('Pro Forma Detail'!$E35:$N35,'Pro Forma Detail'!$E3:$N3,"&gt;"&amp;'Pro Forma Detail'!$D66,'Pro Forma Detail'!$E3:$N3,"&lt;"&amp;'Pro Forma Detail'!J3+1)))</f>
        <v>114579938.1</v>
      </c>
      <c r="J4" s="98">
        <f>IF('Pro Forma Detail'!K3='Pro Forma Detail'!$D66,'Debt ReFi'!$B3,IF('Pro Forma Detail'!K3&lt;='Pro Forma Detail'!$D66,0,'Debt ReFi'!$B3-SUMIFS('Pro Forma Detail'!$E35:$N35,'Pro Forma Detail'!$E3:$N3,"&gt;"&amp;'Pro Forma Detail'!$D66,'Pro Forma Detail'!$E3:$N3,"&lt;"&amp;'Pro Forma Detail'!K3+1)))</f>
        <v>111824029.7</v>
      </c>
      <c r="K4" s="98">
        <f>IF('Pro Forma Detail'!L3='Pro Forma Detail'!$D66,'Debt ReFi'!$B3,IF('Pro Forma Detail'!L3&lt;='Pro Forma Detail'!$D66,0,'Debt ReFi'!$B3-SUMIFS('Pro Forma Detail'!$E35:$N35,'Pro Forma Detail'!$E3:$N3,"&gt;"&amp;'Pro Forma Detail'!$D66,'Pro Forma Detail'!$E3:$N3,"&lt;"&amp;'Pro Forma Detail'!L3+1)))</f>
        <v>108991371.3</v>
      </c>
      <c r="L4" s="98">
        <f>IF('Pro Forma Detail'!M3='Pro Forma Detail'!$D66,'Debt ReFi'!$B3,IF('Pro Forma Detail'!M3&lt;='Pro Forma Detail'!$D66,0,'Debt ReFi'!$B3-SUMIFS('Pro Forma Detail'!$E35:$N35,'Pro Forma Detail'!$E3:$N3,"&gt;"&amp;'Pro Forma Detail'!$D66,'Pro Forma Detail'!$E3:$N3,"&lt;"&amp;'Pro Forma Detail'!M3+1)))</f>
        <v>106079825.4</v>
      </c>
      <c r="M4" s="98">
        <f>IF('Pro Forma Detail'!N3='Pro Forma Detail'!$D66,'Debt ReFi'!$B3,IF('Pro Forma Detail'!N3&lt;='Pro Forma Detail'!$D66,0,'Debt ReFi'!$B3-SUMIFS('Pro Forma Detail'!$E35:$N35,'Pro Forma Detail'!$E3:$N3,"&gt;"&amp;'Pro Forma Detail'!$D66,'Pro Forma Detail'!$E3:$N3,"&lt;"&amp;'Pro Forma Detail'!N3+1)))</f>
        <v>103087195.1</v>
      </c>
      <c r="N4" s="38"/>
      <c r="O4" s="38"/>
      <c r="P4" s="38"/>
      <c r="Q4" s="38"/>
      <c r="R4" s="38"/>
      <c r="S4" s="38"/>
      <c r="T4" s="38"/>
      <c r="U4" s="38"/>
      <c r="V4" s="38"/>
      <c r="W4" s="38"/>
      <c r="X4" s="38"/>
      <c r="Y4" s="38"/>
      <c r="Z4" s="38"/>
    </row>
    <row r="5" ht="14.25" customHeight="1">
      <c r="A5" s="38"/>
      <c r="B5" s="38"/>
      <c r="C5" s="38"/>
      <c r="D5" s="38"/>
      <c r="E5" s="38"/>
      <c r="F5" s="38"/>
      <c r="G5" s="38"/>
      <c r="H5" s="38"/>
      <c r="I5" s="38"/>
      <c r="J5" s="38"/>
      <c r="K5" s="38"/>
      <c r="L5" s="38"/>
      <c r="M5" s="38"/>
      <c r="N5" s="38"/>
      <c r="O5" s="38"/>
      <c r="P5" s="38"/>
      <c r="Q5" s="38"/>
      <c r="R5" s="38"/>
      <c r="S5" s="38"/>
      <c r="T5" s="38"/>
      <c r="U5" s="38"/>
      <c r="V5" s="38"/>
      <c r="W5" s="38"/>
      <c r="X5" s="38"/>
      <c r="Y5" s="38"/>
      <c r="Z5" s="38"/>
    </row>
    <row r="6" ht="14.25" customHeight="1">
      <c r="A6" s="38"/>
      <c r="B6" s="38"/>
      <c r="C6" s="38"/>
      <c r="D6" s="38"/>
      <c r="E6" s="38"/>
      <c r="F6" s="38"/>
      <c r="G6" s="38"/>
      <c r="H6" s="38"/>
      <c r="I6" s="38"/>
      <c r="J6" s="38"/>
      <c r="K6" s="38"/>
      <c r="L6" s="38"/>
      <c r="M6" s="38"/>
      <c r="N6" s="38"/>
      <c r="O6" s="38"/>
      <c r="P6" s="38"/>
      <c r="Q6" s="38"/>
      <c r="R6" s="38"/>
      <c r="S6" s="38"/>
      <c r="T6" s="38"/>
      <c r="U6" s="38"/>
      <c r="V6" s="38"/>
      <c r="W6" s="38"/>
      <c r="X6" s="38"/>
      <c r="Y6" s="38"/>
      <c r="Z6" s="38"/>
    </row>
    <row r="7" ht="14.25" customHeight="1">
      <c r="A7" s="38"/>
      <c r="B7" s="38"/>
      <c r="C7" s="38"/>
      <c r="D7" s="38"/>
      <c r="E7" s="38"/>
      <c r="F7" s="38"/>
      <c r="G7" s="38"/>
      <c r="H7" s="38"/>
      <c r="I7" s="38"/>
      <c r="J7" s="38"/>
      <c r="K7" s="38"/>
      <c r="L7" s="38"/>
      <c r="M7" s="38"/>
      <c r="N7" s="38"/>
      <c r="O7" s="38"/>
      <c r="P7" s="38"/>
      <c r="Q7" s="38"/>
      <c r="R7" s="38"/>
      <c r="S7" s="38"/>
      <c r="T7" s="38"/>
      <c r="U7" s="38"/>
      <c r="V7" s="38"/>
      <c r="W7" s="38"/>
      <c r="X7" s="38"/>
      <c r="Y7" s="38"/>
      <c r="Z7" s="38"/>
    </row>
    <row r="8" ht="14.25" customHeight="1">
      <c r="A8" s="38"/>
      <c r="B8" s="38" t="s">
        <v>87</v>
      </c>
      <c r="C8" s="100" t="s">
        <v>88</v>
      </c>
      <c r="D8" s="38"/>
      <c r="E8" s="38"/>
      <c r="F8" s="38"/>
      <c r="G8" s="38"/>
      <c r="H8" s="38"/>
      <c r="I8" s="38"/>
      <c r="J8" s="38"/>
      <c r="K8" s="38"/>
      <c r="L8" s="38"/>
      <c r="M8" s="38"/>
      <c r="N8" s="38"/>
      <c r="O8" s="38"/>
      <c r="P8" s="38"/>
      <c r="Q8" s="38"/>
      <c r="R8" s="38"/>
      <c r="S8" s="38"/>
      <c r="T8" s="38"/>
      <c r="U8" s="38"/>
      <c r="V8" s="38"/>
      <c r="W8" s="38"/>
      <c r="X8" s="38"/>
      <c r="Y8" s="38"/>
      <c r="Z8" s="38"/>
    </row>
    <row r="9" ht="14.25" customHeight="1">
      <c r="A9" s="38"/>
      <c r="B9" s="38" t="s">
        <v>89</v>
      </c>
      <c r="C9" s="101">
        <v>850000.0</v>
      </c>
      <c r="D9" s="101">
        <v>850000.0</v>
      </c>
      <c r="E9" s="102">
        <f>D9*'Pro Forma Detail'!F18+'helper data'!C9</f>
        <v>858500</v>
      </c>
      <c r="F9" s="102">
        <f>E9*'Pro Forma Detail'!G18+'helper data'!D9</f>
        <v>858585</v>
      </c>
      <c r="G9" s="102">
        <f>F9*'Pro Forma Detail'!H18+'helper data'!E9</f>
        <v>867085.85</v>
      </c>
      <c r="H9" s="102">
        <f>G9*'Pro Forma Detail'!I18+'helper data'!F9</f>
        <v>867255.8585</v>
      </c>
      <c r="I9" s="102">
        <f>H9*'Pro Forma Detail'!J18+'helper data'!G9</f>
        <v>875758.4086</v>
      </c>
      <c r="J9" s="102">
        <f>I9*'Pro Forma Detail'!K18+'helper data'!H9</f>
        <v>876013.4426</v>
      </c>
      <c r="K9" s="102">
        <f>J9*'Pro Forma Detail'!L18+'helper data'!I9</f>
        <v>884518.543</v>
      </c>
      <c r="L9" s="102">
        <f>K9*'Pro Forma Detail'!M18+'helper data'!J9</f>
        <v>884858.628</v>
      </c>
      <c r="M9" s="102">
        <f>L9*'Pro Forma Detail'!N18+'helper data'!K9</f>
        <v>893367.1293</v>
      </c>
      <c r="N9" s="38"/>
      <c r="O9" s="38"/>
      <c r="P9" s="38"/>
      <c r="Q9" s="38"/>
      <c r="R9" s="38"/>
      <c r="S9" s="38"/>
      <c r="T9" s="38"/>
      <c r="U9" s="38"/>
      <c r="V9" s="38"/>
      <c r="W9" s="38"/>
      <c r="X9" s="38"/>
      <c r="Y9" s="38"/>
      <c r="Z9" s="38"/>
    </row>
    <row r="10" ht="14.25" customHeight="1">
      <c r="A10" s="38"/>
      <c r="B10" s="38"/>
      <c r="C10" s="38"/>
      <c r="D10" s="38"/>
      <c r="E10" s="38"/>
      <c r="F10" s="38"/>
      <c r="G10" s="38"/>
      <c r="H10" s="38"/>
      <c r="I10" s="38"/>
      <c r="J10" s="38"/>
      <c r="K10" s="38"/>
      <c r="L10" s="38"/>
      <c r="M10" s="38"/>
      <c r="N10" s="38"/>
      <c r="O10" s="38"/>
      <c r="P10" s="38"/>
      <c r="Q10" s="38"/>
      <c r="R10" s="38"/>
      <c r="S10" s="38"/>
      <c r="T10" s="38"/>
      <c r="U10" s="38"/>
      <c r="V10" s="38"/>
      <c r="W10" s="38"/>
      <c r="X10" s="38"/>
      <c r="Y10" s="38"/>
      <c r="Z10" s="38"/>
    </row>
    <row r="11" ht="14.25" customHeight="1">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row>
    <row r="12" ht="14.25" customHeight="1">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row>
    <row r="13" ht="14.25" customHeight="1">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row>
    <row r="14" ht="14.25" customHeight="1">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row>
    <row r="15" ht="14.25" customHeight="1">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row>
    <row r="16" ht="14.25" customHeight="1">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row>
    <row r="17" ht="14.25" customHeight="1">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row>
    <row r="18" ht="14.25" customHeight="1">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row>
    <row r="19" ht="14.25" customHeight="1">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ht="14.25" customHeight="1">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row>
    <row r="21" ht="14.25" customHeight="1">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row>
    <row r="22" ht="14.25" customHeight="1">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row>
    <row r="23" ht="14.25" customHeight="1">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row r="24" ht="14.25" customHeight="1">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5" ht="14.25" customHeight="1">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ht="14.25" customHeight="1">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ht="14.25" customHeight="1">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ht="14.25" customHeight="1">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ht="14.25" customHeight="1">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ht="14.25" customHeight="1">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ht="14.25" customHeight="1">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ht="14.25" customHeight="1">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ht="14.25" customHeight="1">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ht="14.25" customHeight="1">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ht="14.25" customHeight="1">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ht="14.25" customHeight="1">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ht="14.25" customHeight="1">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ht="14.25" customHeight="1">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ht="14.25" customHeight="1">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ht="14.25" customHeight="1">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ht="14.25" customHeight="1">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ht="14.2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ht="14.2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ht="14.2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ht="14.2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ht="14.2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ht="14.2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ht="14.2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ht="14.2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ht="14.2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ht="14.25" customHeight="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ht="14.25" customHeight="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ht="14.25" customHeigh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ht="14.25" customHeigh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ht="14.25" customHeight="1">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ht="14.25" customHeigh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ht="14.25" customHeight="1">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ht="14.25" customHeight="1">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ht="14.25" customHeight="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ht="14.25" customHeight="1">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ht="14.2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ht="14.2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ht="14.2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ht="14.2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ht="14.2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ht="14.2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ht="14.2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ht="14.2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ht="14.2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ht="14.2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ht="14.2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ht="14.2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ht="14.2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ht="14.2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ht="14.2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ht="14.2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ht="14.2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ht="14.2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ht="14.2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ht="14.2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ht="14.2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ht="14.2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ht="14.2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ht="14.2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ht="14.2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ht="14.2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ht="14.2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ht="14.2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ht="14.2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ht="14.2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ht="14.2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ht="14.2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ht="14.2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ht="14.2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ht="14.2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ht="14.2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ht="14.2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ht="14.2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ht="14.2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ht="14.2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ht="14.2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ht="14.2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ht="14.2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ht="14.2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ht="14.2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ht="14.2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ht="14.2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ht="14.2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ht="14.2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ht="14.2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ht="14.2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ht="14.2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ht="14.2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ht="14.2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ht="14.2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ht="14.2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ht="14.2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ht="14.2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ht="14.2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ht="14.2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ht="14.2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ht="14.2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ht="14.2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ht="14.2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ht="14.2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ht="14.2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ht="14.2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ht="14.2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ht="14.2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ht="14.2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ht="14.2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ht="14.2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ht="14.2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ht="14.2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ht="14.2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ht="14.2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ht="14.2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ht="14.2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ht="14.2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ht="14.2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ht="14.2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ht="14.2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ht="14.2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ht="14.2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ht="14.2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ht="14.2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ht="14.2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ht="14.2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ht="14.2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ht="14.2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ht="14.2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ht="14.2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ht="14.2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ht="14.2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ht="14.2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ht="14.2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ht="14.2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ht="14.2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ht="14.2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ht="14.2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ht="14.2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ht="14.2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ht="14.2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ht="14.2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ht="14.2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ht="14.2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ht="14.2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ht="14.2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ht="14.2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ht="14.2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ht="14.2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ht="14.2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ht="14.2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ht="14.2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ht="14.2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ht="14.2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ht="14.2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ht="14.2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ht="14.2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ht="14.2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ht="14.2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ht="14.2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ht="14.2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ht="14.2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ht="14.2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ht="14.2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ht="14.2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ht="14.2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ht="14.2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ht="14.2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ht="14.2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ht="14.2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ht="14.2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ht="14.2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ht="14.2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ht="14.2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ht="14.2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ht="14.2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ht="14.2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ht="14.2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ht="14.2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ht="14.2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ht="14.2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ht="14.2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ht="14.2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ht="14.2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ht="14.2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ht="14.2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ht="14.2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ht="14.2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ht="14.2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ht="14.2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ht="14.2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ht="14.2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ht="14.2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ht="14.2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ht="14.2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ht="14.2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ht="14.2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ht="14.2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1:M1"/>
  </mergeCells>
  <dataValidations>
    <dataValidation type="list" allowBlank="1" showErrorMessage="1" sqref="C8">
      <formula1>"Yes,No"</formula1>
    </dataValidation>
  </dataValidation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99"/>
    <pageSetUpPr/>
  </sheetPr>
  <sheetViews>
    <sheetView showGridLines="0" workbookViewId="0">
      <pane xSplit="4.0" ySplit="3.0" topLeftCell="E4" activePane="bottomRight" state="frozen"/>
      <selection activeCell="E1" sqref="E1" pane="topRight"/>
      <selection activeCell="A4" sqref="A4" pane="bottomLeft"/>
      <selection activeCell="E4" sqref="E4" pane="bottomRight"/>
    </sheetView>
  </sheetViews>
  <sheetFormatPr customHeight="1" defaultColWidth="12.63" defaultRowHeight="15.0" outlineLevelRow="1"/>
  <cols>
    <col customWidth="1" min="1" max="1" width="2.63"/>
    <col customWidth="1" min="2" max="2" width="33.88"/>
    <col customWidth="1" min="3" max="3" width="11.38"/>
    <col customWidth="1" min="4" max="4" width="11.75"/>
    <col customWidth="1" min="5" max="5" width="11.88"/>
    <col customWidth="1" min="6" max="14" width="11.75"/>
    <col customWidth="1" min="15" max="15" width="8.88"/>
    <col customWidth="1" min="16" max="26" width="14.38"/>
  </cols>
  <sheetData>
    <row r="1" ht="12.75" customHeight="1">
      <c r="A1" s="1"/>
      <c r="B1" s="103"/>
      <c r="C1" s="103"/>
      <c r="D1" s="103"/>
      <c r="E1" s="104"/>
      <c r="F1" s="104"/>
      <c r="G1" s="104"/>
      <c r="H1" s="104"/>
      <c r="I1" s="104"/>
      <c r="J1" s="105"/>
      <c r="K1" s="105"/>
      <c r="L1" s="105"/>
      <c r="M1" s="105"/>
      <c r="N1" s="105"/>
      <c r="O1" s="1"/>
    </row>
    <row r="2" ht="15.75" customHeight="1">
      <c r="A2" s="1"/>
      <c r="B2" s="106" t="s">
        <v>90</v>
      </c>
      <c r="C2" s="107"/>
      <c r="D2" s="107" t="s">
        <v>91</v>
      </c>
      <c r="E2" s="90" t="s">
        <v>83</v>
      </c>
      <c r="F2" s="91"/>
      <c r="G2" s="91"/>
      <c r="H2" s="91"/>
      <c r="I2" s="91"/>
      <c r="J2" s="91"/>
      <c r="K2" s="91"/>
      <c r="L2" s="91"/>
      <c r="M2" s="91"/>
      <c r="N2" s="92"/>
      <c r="O2" s="1"/>
    </row>
    <row r="3" ht="12.75" customHeight="1">
      <c r="A3" s="1"/>
      <c r="B3" s="1"/>
      <c r="C3" s="108"/>
      <c r="D3" s="109" t="s">
        <v>92</v>
      </c>
      <c r="E3" s="110">
        <v>1.0</v>
      </c>
      <c r="F3" s="111">
        <v>2.0</v>
      </c>
      <c r="G3" s="111">
        <v>3.0</v>
      </c>
      <c r="H3" s="111">
        <v>4.0</v>
      </c>
      <c r="I3" s="111">
        <v>5.0</v>
      </c>
      <c r="J3" s="111">
        <v>6.0</v>
      </c>
      <c r="K3" s="111">
        <v>7.0</v>
      </c>
      <c r="L3" s="111">
        <v>8.0</v>
      </c>
      <c r="M3" s="111">
        <v>9.0</v>
      </c>
      <c r="N3" s="111">
        <v>10.0</v>
      </c>
      <c r="O3" s="1"/>
    </row>
    <row r="4" ht="13.5" customHeight="1">
      <c r="A4" s="1"/>
      <c r="B4" s="112" t="s">
        <v>93</v>
      </c>
      <c r="C4" s="113"/>
      <c r="D4" s="114"/>
      <c r="E4" s="115">
        <f>'Rent Rolls'!J8</f>
        <v>0.05</v>
      </c>
      <c r="F4" s="116">
        <v>0.05</v>
      </c>
      <c r="G4" s="116">
        <v>0.05</v>
      </c>
      <c r="H4" s="116">
        <v>0.05</v>
      </c>
      <c r="I4" s="116">
        <v>0.05</v>
      </c>
      <c r="J4" s="116">
        <v>0.05</v>
      </c>
      <c r="K4" s="116">
        <v>0.05</v>
      </c>
      <c r="L4" s="116">
        <v>0.05</v>
      </c>
      <c r="M4" s="116">
        <v>0.05</v>
      </c>
      <c r="N4" s="116">
        <v>0.05</v>
      </c>
      <c r="O4" s="1"/>
    </row>
    <row r="5" ht="13.5" customHeight="1">
      <c r="A5" s="1"/>
      <c r="B5" s="117" t="s">
        <v>94</v>
      </c>
      <c r="C5" s="118"/>
      <c r="D5" s="119">
        <f>IF('Rent Rolls'!C4="detailed",SUM('Rent Rolls'!E8:E12),'Rent Rolls'!C18)</f>
        <v>14634000</v>
      </c>
      <c r="E5" s="120">
        <f>IF('Rent Rolls'!C4="detailed",SUM('Rent Rolls'!I8:I12),'Rent Rolls'!D18)</f>
        <v>15365700</v>
      </c>
      <c r="F5" s="119">
        <f t="shared" ref="F5:N5" si="1">E5*(1+F4)</f>
        <v>16133985</v>
      </c>
      <c r="G5" s="120">
        <f t="shared" si="1"/>
        <v>16940684.25</v>
      </c>
      <c r="H5" s="120">
        <f t="shared" si="1"/>
        <v>17787718.46</v>
      </c>
      <c r="I5" s="120">
        <f t="shared" si="1"/>
        <v>18677104.39</v>
      </c>
      <c r="J5" s="120">
        <f t="shared" si="1"/>
        <v>19610959.6</v>
      </c>
      <c r="K5" s="120">
        <f t="shared" si="1"/>
        <v>20591507.59</v>
      </c>
      <c r="L5" s="120">
        <f t="shared" si="1"/>
        <v>21621082.96</v>
      </c>
      <c r="M5" s="120">
        <f t="shared" si="1"/>
        <v>22702137.11</v>
      </c>
      <c r="N5" s="120">
        <f t="shared" si="1"/>
        <v>23837243.97</v>
      </c>
      <c r="O5" s="1"/>
    </row>
    <row r="6" ht="13.5" customHeight="1">
      <c r="A6" s="1"/>
      <c r="B6" s="121" t="s">
        <v>95</v>
      </c>
      <c r="C6" s="122"/>
      <c r="D6" s="123">
        <f t="shared" ref="D6:N6" si="2">SUM(D7:D10)</f>
        <v>0</v>
      </c>
      <c r="E6" s="124">
        <f t="shared" si="2"/>
        <v>0</v>
      </c>
      <c r="F6" s="124">
        <f t="shared" si="2"/>
        <v>0</v>
      </c>
      <c r="G6" s="124">
        <f t="shared" si="2"/>
        <v>0</v>
      </c>
      <c r="H6" s="124">
        <f t="shared" si="2"/>
        <v>0</v>
      </c>
      <c r="I6" s="124">
        <f t="shared" si="2"/>
        <v>0</v>
      </c>
      <c r="J6" s="124">
        <f t="shared" si="2"/>
        <v>0</v>
      </c>
      <c r="K6" s="124">
        <f t="shared" si="2"/>
        <v>0</v>
      </c>
      <c r="L6" s="124">
        <f t="shared" si="2"/>
        <v>0</v>
      </c>
      <c r="M6" s="124">
        <f t="shared" si="2"/>
        <v>0</v>
      </c>
      <c r="N6" s="124">
        <f t="shared" si="2"/>
        <v>0</v>
      </c>
      <c r="O6" s="1"/>
    </row>
    <row r="7" ht="13.5" hidden="1" customHeight="1" outlineLevel="1">
      <c r="A7" s="1"/>
      <c r="B7" s="125" t="s">
        <v>96</v>
      </c>
      <c r="C7" s="126"/>
      <c r="D7" s="123">
        <v>0.0</v>
      </c>
      <c r="E7" s="124">
        <v>0.0</v>
      </c>
      <c r="F7" s="120">
        <f t="shared" ref="F7:N7" si="3">E7</f>
        <v>0</v>
      </c>
      <c r="G7" s="120">
        <f t="shared" si="3"/>
        <v>0</v>
      </c>
      <c r="H7" s="120">
        <f t="shared" si="3"/>
        <v>0</v>
      </c>
      <c r="I7" s="120">
        <f t="shared" si="3"/>
        <v>0</v>
      </c>
      <c r="J7" s="120">
        <f t="shared" si="3"/>
        <v>0</v>
      </c>
      <c r="K7" s="120">
        <f t="shared" si="3"/>
        <v>0</v>
      </c>
      <c r="L7" s="120">
        <f t="shared" si="3"/>
        <v>0</v>
      </c>
      <c r="M7" s="120">
        <f t="shared" si="3"/>
        <v>0</v>
      </c>
      <c r="N7" s="120">
        <f t="shared" si="3"/>
        <v>0</v>
      </c>
      <c r="O7" s="1"/>
    </row>
    <row r="8" ht="13.5" hidden="1" customHeight="1" outlineLevel="1">
      <c r="A8" s="1"/>
      <c r="B8" s="125" t="s">
        <v>97</v>
      </c>
      <c r="C8" s="126"/>
      <c r="D8" s="123">
        <v>0.0</v>
      </c>
      <c r="E8" s="124">
        <v>0.0</v>
      </c>
      <c r="F8" s="120">
        <f t="shared" ref="F8:N8" si="4">E8</f>
        <v>0</v>
      </c>
      <c r="G8" s="120">
        <f t="shared" si="4"/>
        <v>0</v>
      </c>
      <c r="H8" s="120">
        <f t="shared" si="4"/>
        <v>0</v>
      </c>
      <c r="I8" s="120">
        <f t="shared" si="4"/>
        <v>0</v>
      </c>
      <c r="J8" s="120">
        <f t="shared" si="4"/>
        <v>0</v>
      </c>
      <c r="K8" s="120">
        <f t="shared" si="4"/>
        <v>0</v>
      </c>
      <c r="L8" s="120">
        <f t="shared" si="4"/>
        <v>0</v>
      </c>
      <c r="M8" s="120">
        <f t="shared" si="4"/>
        <v>0</v>
      </c>
      <c r="N8" s="120">
        <f t="shared" si="4"/>
        <v>0</v>
      </c>
      <c r="O8" s="1"/>
    </row>
    <row r="9" ht="13.5" hidden="1" customHeight="1" outlineLevel="1">
      <c r="A9" s="1"/>
      <c r="B9" s="125" t="s">
        <v>98</v>
      </c>
      <c r="C9" s="126"/>
      <c r="D9" s="123">
        <v>0.0</v>
      </c>
      <c r="E9" s="124">
        <v>0.0</v>
      </c>
      <c r="F9" s="120">
        <f t="shared" ref="F9:N9" si="5">E9</f>
        <v>0</v>
      </c>
      <c r="G9" s="120">
        <f t="shared" si="5"/>
        <v>0</v>
      </c>
      <c r="H9" s="120">
        <f t="shared" si="5"/>
        <v>0</v>
      </c>
      <c r="I9" s="120">
        <f t="shared" si="5"/>
        <v>0</v>
      </c>
      <c r="J9" s="120">
        <f t="shared" si="5"/>
        <v>0</v>
      </c>
      <c r="K9" s="120">
        <f t="shared" si="5"/>
        <v>0</v>
      </c>
      <c r="L9" s="120">
        <f t="shared" si="5"/>
        <v>0</v>
      </c>
      <c r="M9" s="120">
        <f t="shared" si="5"/>
        <v>0</v>
      </c>
      <c r="N9" s="120">
        <f t="shared" si="5"/>
        <v>0</v>
      </c>
      <c r="O9" s="1"/>
    </row>
    <row r="10" ht="13.5" hidden="1" customHeight="1" outlineLevel="1">
      <c r="A10" s="1"/>
      <c r="B10" s="125" t="s">
        <v>99</v>
      </c>
      <c r="C10" s="126"/>
      <c r="D10" s="123">
        <v>0.0</v>
      </c>
      <c r="E10" s="124">
        <v>0.0</v>
      </c>
      <c r="F10" s="120">
        <f t="shared" ref="F10:N10" si="6">E10</f>
        <v>0</v>
      </c>
      <c r="G10" s="120">
        <f t="shared" si="6"/>
        <v>0</v>
      </c>
      <c r="H10" s="120">
        <f t="shared" si="6"/>
        <v>0</v>
      </c>
      <c r="I10" s="120">
        <f t="shared" si="6"/>
        <v>0</v>
      </c>
      <c r="J10" s="120">
        <f t="shared" si="6"/>
        <v>0</v>
      </c>
      <c r="K10" s="120">
        <f t="shared" si="6"/>
        <v>0</v>
      </c>
      <c r="L10" s="120">
        <f t="shared" si="6"/>
        <v>0</v>
      </c>
      <c r="M10" s="120">
        <f t="shared" si="6"/>
        <v>0</v>
      </c>
      <c r="N10" s="120">
        <f t="shared" si="6"/>
        <v>0</v>
      </c>
      <c r="O10" s="1"/>
    </row>
    <row r="11" ht="13.5" customHeight="1" collapsed="1">
      <c r="A11" s="1"/>
      <c r="B11" s="117" t="s">
        <v>100</v>
      </c>
      <c r="C11" s="126"/>
      <c r="D11" s="127">
        <v>0.05</v>
      </c>
      <c r="E11" s="128">
        <v>0.05</v>
      </c>
      <c r="F11" s="128">
        <v>0.05</v>
      </c>
      <c r="G11" s="128">
        <v>0.05</v>
      </c>
      <c r="H11" s="128">
        <v>0.05</v>
      </c>
      <c r="I11" s="128">
        <v>0.05</v>
      </c>
      <c r="J11" s="128">
        <v>0.05</v>
      </c>
      <c r="K11" s="128">
        <v>0.05</v>
      </c>
      <c r="L11" s="128">
        <v>0.05</v>
      </c>
      <c r="M11" s="128">
        <v>0.05</v>
      </c>
      <c r="N11" s="128">
        <v>0.05</v>
      </c>
      <c r="O11" s="1"/>
    </row>
    <row r="12" ht="13.5" customHeight="1">
      <c r="A12" s="1"/>
      <c r="B12" s="117" t="s">
        <v>101</v>
      </c>
      <c r="C12" s="129"/>
      <c r="D12" s="119">
        <f t="shared" ref="D12:N12" si="7">-D5*D11</f>
        <v>-731700</v>
      </c>
      <c r="E12" s="120">
        <f t="shared" si="7"/>
        <v>-768285</v>
      </c>
      <c r="F12" s="120">
        <f t="shared" si="7"/>
        <v>-806699.25</v>
      </c>
      <c r="G12" s="120">
        <f t="shared" si="7"/>
        <v>-847034.2125</v>
      </c>
      <c r="H12" s="120">
        <f t="shared" si="7"/>
        <v>-889385.9231</v>
      </c>
      <c r="I12" s="120">
        <f t="shared" si="7"/>
        <v>-933855.2193</v>
      </c>
      <c r="J12" s="120">
        <f t="shared" si="7"/>
        <v>-980547.9802</v>
      </c>
      <c r="K12" s="120">
        <f t="shared" si="7"/>
        <v>-1029575.379</v>
      </c>
      <c r="L12" s="120">
        <f t="shared" si="7"/>
        <v>-1081054.148</v>
      </c>
      <c r="M12" s="120">
        <f t="shared" si="7"/>
        <v>-1135106.856</v>
      </c>
      <c r="N12" s="120">
        <f t="shared" si="7"/>
        <v>-1191862.198</v>
      </c>
      <c r="O12" s="1"/>
    </row>
    <row r="13" ht="13.5" customHeight="1">
      <c r="A13" s="1"/>
      <c r="B13" s="130" t="s">
        <v>102</v>
      </c>
      <c r="C13" s="128">
        <v>0.02</v>
      </c>
      <c r="D13" s="131">
        <f t="shared" ref="D13:N13" si="8">-$C13*D5</f>
        <v>-292680</v>
      </c>
      <c r="E13" s="131">
        <f t="shared" si="8"/>
        <v>-307314</v>
      </c>
      <c r="F13" s="131">
        <f t="shared" si="8"/>
        <v>-322679.7</v>
      </c>
      <c r="G13" s="131">
        <f t="shared" si="8"/>
        <v>-338813.685</v>
      </c>
      <c r="H13" s="131">
        <f t="shared" si="8"/>
        <v>-355754.3693</v>
      </c>
      <c r="I13" s="131">
        <f t="shared" si="8"/>
        <v>-373542.0877</v>
      </c>
      <c r="J13" s="131">
        <f t="shared" si="8"/>
        <v>-392219.1921</v>
      </c>
      <c r="K13" s="131">
        <f t="shared" si="8"/>
        <v>-411830.1517</v>
      </c>
      <c r="L13" s="131">
        <f t="shared" si="8"/>
        <v>-432421.6593</v>
      </c>
      <c r="M13" s="131">
        <f t="shared" si="8"/>
        <v>-454042.7423</v>
      </c>
      <c r="N13" s="131">
        <f t="shared" si="8"/>
        <v>-476744.8794</v>
      </c>
      <c r="O13" s="1"/>
    </row>
    <row r="14" ht="13.5" customHeight="1">
      <c r="A14" s="1"/>
      <c r="B14" s="132" t="s">
        <v>103</v>
      </c>
      <c r="C14" s="129"/>
      <c r="D14" s="133">
        <f t="shared" ref="D14:N14" si="9">D5+D6+D12+D13</f>
        <v>13609620</v>
      </c>
      <c r="E14" s="133">
        <f t="shared" si="9"/>
        <v>14290101</v>
      </c>
      <c r="F14" s="133">
        <f t="shared" si="9"/>
        <v>15004606.05</v>
      </c>
      <c r="G14" s="133">
        <f t="shared" si="9"/>
        <v>15754836.35</v>
      </c>
      <c r="H14" s="133">
        <f t="shared" si="9"/>
        <v>16542578.17</v>
      </c>
      <c r="I14" s="133">
        <f t="shared" si="9"/>
        <v>17369707.08</v>
      </c>
      <c r="J14" s="133">
        <f t="shared" si="9"/>
        <v>18238192.43</v>
      </c>
      <c r="K14" s="133">
        <f t="shared" si="9"/>
        <v>19150102.05</v>
      </c>
      <c r="L14" s="133">
        <f t="shared" si="9"/>
        <v>20107607.16</v>
      </c>
      <c r="M14" s="133">
        <f t="shared" si="9"/>
        <v>21112987.51</v>
      </c>
      <c r="N14" s="133">
        <f t="shared" si="9"/>
        <v>22168636.89</v>
      </c>
      <c r="O14" s="1"/>
    </row>
    <row r="15" ht="13.5" customHeight="1">
      <c r="A15" s="1"/>
      <c r="B15" s="1"/>
      <c r="C15" s="1"/>
      <c r="D15" s="134"/>
      <c r="E15" s="105"/>
      <c r="F15" s="105"/>
      <c r="G15" s="105"/>
      <c r="H15" s="105"/>
      <c r="I15" s="105"/>
      <c r="J15" s="105"/>
      <c r="K15" s="105"/>
      <c r="L15" s="105"/>
      <c r="M15" s="105"/>
      <c r="N15" s="105"/>
      <c r="O15" s="1"/>
    </row>
    <row r="16" ht="13.5" customHeight="1">
      <c r="A16" s="1"/>
      <c r="B16" s="106" t="s">
        <v>104</v>
      </c>
      <c r="C16" s="107"/>
      <c r="D16" s="135" t="s">
        <v>91</v>
      </c>
      <c r="E16" s="90" t="s">
        <v>83</v>
      </c>
      <c r="F16" s="91"/>
      <c r="G16" s="91"/>
      <c r="H16" s="91"/>
      <c r="I16" s="91"/>
      <c r="J16" s="91"/>
      <c r="K16" s="91"/>
      <c r="L16" s="91"/>
      <c r="M16" s="91"/>
      <c r="N16" s="92"/>
      <c r="O16" s="1"/>
    </row>
    <row r="17" ht="13.5" customHeight="1">
      <c r="A17" s="1"/>
      <c r="B17" s="129"/>
      <c r="C17" s="126"/>
      <c r="D17" s="136" t="s">
        <v>92</v>
      </c>
      <c r="E17" s="110">
        <v>1.0</v>
      </c>
      <c r="F17" s="111">
        <v>2.0</v>
      </c>
      <c r="G17" s="111">
        <v>3.0</v>
      </c>
      <c r="H17" s="111">
        <v>4.0</v>
      </c>
      <c r="I17" s="111">
        <v>5.0</v>
      </c>
      <c r="J17" s="111">
        <v>6.0</v>
      </c>
      <c r="K17" s="111">
        <v>7.0</v>
      </c>
      <c r="L17" s="111">
        <v>8.0</v>
      </c>
      <c r="M17" s="111">
        <v>9.0</v>
      </c>
      <c r="N17" s="111">
        <v>10.0</v>
      </c>
      <c r="O17" s="1"/>
    </row>
    <row r="18" ht="13.5" customHeight="1">
      <c r="A18" s="1"/>
      <c r="B18" s="137" t="s">
        <v>105</v>
      </c>
      <c r="C18" s="129"/>
      <c r="D18" s="138"/>
      <c r="E18" s="139"/>
      <c r="F18" s="116">
        <v>0.01</v>
      </c>
      <c r="G18" s="116">
        <v>0.01</v>
      </c>
      <c r="H18" s="116">
        <v>0.01</v>
      </c>
      <c r="I18" s="116">
        <v>0.01</v>
      </c>
      <c r="J18" s="116">
        <v>0.01</v>
      </c>
      <c r="K18" s="116">
        <v>0.01</v>
      </c>
      <c r="L18" s="116">
        <v>0.01</v>
      </c>
      <c r="M18" s="116">
        <v>0.01</v>
      </c>
      <c r="N18" s="116">
        <v>0.01</v>
      </c>
      <c r="O18" s="1"/>
    </row>
    <row r="19" ht="13.5" customHeight="1">
      <c r="A19" s="1"/>
      <c r="B19" s="140" t="str">
        <f>"3rd part contractors ($"&amp;C19&amp;" @ unit)"</f>
        <v>3rd part contractors ($50 @ unit)</v>
      </c>
      <c r="C19" s="141">
        <v>50.0</v>
      </c>
      <c r="D19" s="141">
        <f>C19*'Global Inputs'!C$5</f>
        <v>87500</v>
      </c>
      <c r="E19" s="142">
        <f t="shared" ref="E19:E22" si="11">D19</f>
        <v>87500</v>
      </c>
      <c r="F19" s="142">
        <f t="shared" ref="F19:N19" si="10">E19*F$18+E19</f>
        <v>88375</v>
      </c>
      <c r="G19" s="142">
        <f t="shared" si="10"/>
        <v>89258.75</v>
      </c>
      <c r="H19" s="142">
        <f t="shared" si="10"/>
        <v>90151.3375</v>
      </c>
      <c r="I19" s="142">
        <f t="shared" si="10"/>
        <v>91052.85088</v>
      </c>
      <c r="J19" s="142">
        <f t="shared" si="10"/>
        <v>91963.37938</v>
      </c>
      <c r="K19" s="142">
        <f t="shared" si="10"/>
        <v>92883.01318</v>
      </c>
      <c r="L19" s="142">
        <f t="shared" si="10"/>
        <v>93811.84331</v>
      </c>
      <c r="M19" s="142">
        <f t="shared" si="10"/>
        <v>94749.96174</v>
      </c>
      <c r="N19" s="142">
        <f t="shared" si="10"/>
        <v>95697.46136</v>
      </c>
      <c r="O19" s="1"/>
    </row>
    <row r="20" ht="13.5" customHeight="1">
      <c r="A20" s="1"/>
      <c r="B20" s="140" t="str">
        <f>"Turn Over ($"&amp;C20&amp;" @ unit)"</f>
        <v>Turn Over ($75 @ unit)</v>
      </c>
      <c r="C20" s="141">
        <v>75.0</v>
      </c>
      <c r="D20" s="141">
        <f>C20*'Global Inputs'!C$5</f>
        <v>131250</v>
      </c>
      <c r="E20" s="142">
        <f t="shared" si="11"/>
        <v>131250</v>
      </c>
      <c r="F20" s="142">
        <f t="shared" ref="F20:N20" si="12">E20*F$18+E20</f>
        <v>132562.5</v>
      </c>
      <c r="G20" s="142">
        <f t="shared" si="12"/>
        <v>133888.125</v>
      </c>
      <c r="H20" s="142">
        <f t="shared" si="12"/>
        <v>135227.0063</v>
      </c>
      <c r="I20" s="142">
        <f t="shared" si="12"/>
        <v>136579.2763</v>
      </c>
      <c r="J20" s="142">
        <f t="shared" si="12"/>
        <v>137945.0691</v>
      </c>
      <c r="K20" s="142">
        <f t="shared" si="12"/>
        <v>139324.5198</v>
      </c>
      <c r="L20" s="142">
        <f t="shared" si="12"/>
        <v>140717.765</v>
      </c>
      <c r="M20" s="142">
        <f t="shared" si="12"/>
        <v>142124.9426</v>
      </c>
      <c r="N20" s="142">
        <f t="shared" si="12"/>
        <v>143546.192</v>
      </c>
      <c r="O20" s="1"/>
    </row>
    <row r="21" ht="13.5" customHeight="1">
      <c r="A21" s="1"/>
      <c r="B21" s="140" t="str">
        <f>"Repairs &amp; Maintenance ($"&amp;C21&amp;" @ unit)"</f>
        <v>Repairs &amp; Maintenance ($200 @ unit)</v>
      </c>
      <c r="C21" s="141">
        <v>200.0</v>
      </c>
      <c r="D21" s="141">
        <f>C21*'Global Inputs'!C$5</f>
        <v>350000</v>
      </c>
      <c r="E21" s="142">
        <f t="shared" si="11"/>
        <v>350000</v>
      </c>
      <c r="F21" s="142">
        <f t="shared" ref="F21:N21" si="13">E21*F$18+E21</f>
        <v>353500</v>
      </c>
      <c r="G21" s="142">
        <f t="shared" si="13"/>
        <v>357035</v>
      </c>
      <c r="H21" s="142">
        <f t="shared" si="13"/>
        <v>360605.35</v>
      </c>
      <c r="I21" s="142">
        <f t="shared" si="13"/>
        <v>364211.4035</v>
      </c>
      <c r="J21" s="142">
        <f t="shared" si="13"/>
        <v>367853.5175</v>
      </c>
      <c r="K21" s="142">
        <f t="shared" si="13"/>
        <v>371532.0527</v>
      </c>
      <c r="L21" s="142">
        <f t="shared" si="13"/>
        <v>375247.3732</v>
      </c>
      <c r="M21" s="142">
        <f t="shared" si="13"/>
        <v>378999.847</v>
      </c>
      <c r="N21" s="142">
        <f t="shared" si="13"/>
        <v>382789.8454</v>
      </c>
      <c r="O21" s="1"/>
    </row>
    <row r="22" ht="13.5" customHeight="1">
      <c r="A22" s="1"/>
      <c r="B22" s="140" t="str">
        <f>"Marketing &amp; Advertising ($"&amp;C22&amp;" @ unit)"</f>
        <v>Marketing &amp; Advertising ($60 @ unit)</v>
      </c>
      <c r="C22" s="143">
        <v>60.0</v>
      </c>
      <c r="D22" s="141">
        <f>C22*'Global Inputs'!C$5</f>
        <v>105000</v>
      </c>
      <c r="E22" s="142">
        <f t="shared" si="11"/>
        <v>105000</v>
      </c>
      <c r="F22" s="142">
        <f t="shared" ref="F22:N22" si="14">E22*F$18+E22</f>
        <v>106050</v>
      </c>
      <c r="G22" s="142">
        <f t="shared" si="14"/>
        <v>107110.5</v>
      </c>
      <c r="H22" s="142">
        <f t="shared" si="14"/>
        <v>108181.605</v>
      </c>
      <c r="I22" s="142">
        <f t="shared" si="14"/>
        <v>109263.4211</v>
      </c>
      <c r="J22" s="142">
        <f t="shared" si="14"/>
        <v>110356.0553</v>
      </c>
      <c r="K22" s="142">
        <f t="shared" si="14"/>
        <v>111459.6158</v>
      </c>
      <c r="L22" s="142">
        <f t="shared" si="14"/>
        <v>112574.212</v>
      </c>
      <c r="M22" s="142">
        <f t="shared" si="14"/>
        <v>113699.9541</v>
      </c>
      <c r="N22" s="142">
        <f t="shared" si="14"/>
        <v>114836.9536</v>
      </c>
      <c r="O22" s="1"/>
    </row>
    <row r="23" ht="13.5" customHeight="1">
      <c r="A23" s="1"/>
      <c r="B23" s="117" t="s">
        <v>106</v>
      </c>
      <c r="C23" s="144">
        <v>0.04</v>
      </c>
      <c r="D23" s="131">
        <f t="shared" ref="D23:N23" si="15">$C23*D14</f>
        <v>544384.8</v>
      </c>
      <c r="E23" s="131">
        <f t="shared" si="15"/>
        <v>571604.04</v>
      </c>
      <c r="F23" s="131">
        <f t="shared" si="15"/>
        <v>600184.242</v>
      </c>
      <c r="G23" s="131">
        <f t="shared" si="15"/>
        <v>630193.4541</v>
      </c>
      <c r="H23" s="131">
        <f t="shared" si="15"/>
        <v>661703.1268</v>
      </c>
      <c r="I23" s="131">
        <f t="shared" si="15"/>
        <v>694788.2831</v>
      </c>
      <c r="J23" s="131">
        <f t="shared" si="15"/>
        <v>729527.6973</v>
      </c>
      <c r="K23" s="131">
        <f t="shared" si="15"/>
        <v>766004.0822</v>
      </c>
      <c r="L23" s="131">
        <f t="shared" si="15"/>
        <v>804304.2863</v>
      </c>
      <c r="M23" s="131">
        <f t="shared" si="15"/>
        <v>844519.5006</v>
      </c>
      <c r="N23" s="131">
        <f t="shared" si="15"/>
        <v>886745.4756</v>
      </c>
      <c r="O23" s="1"/>
    </row>
    <row r="24" ht="13.5" customHeight="1">
      <c r="A24" s="1"/>
      <c r="B24" s="117" t="s">
        <v>107</v>
      </c>
      <c r="C24" s="126"/>
      <c r="D24" s="145">
        <v>100000.0</v>
      </c>
      <c r="E24" s="142">
        <v>100000.0</v>
      </c>
      <c r="F24" s="142">
        <f t="shared" ref="F24:N24" si="16">E24*F$18+E24</f>
        <v>101000</v>
      </c>
      <c r="G24" s="142">
        <f t="shared" si="16"/>
        <v>102010</v>
      </c>
      <c r="H24" s="142">
        <f t="shared" si="16"/>
        <v>103030.1</v>
      </c>
      <c r="I24" s="142">
        <f t="shared" si="16"/>
        <v>104060.401</v>
      </c>
      <c r="J24" s="142">
        <f t="shared" si="16"/>
        <v>105101.005</v>
      </c>
      <c r="K24" s="142">
        <f t="shared" si="16"/>
        <v>106152.0151</v>
      </c>
      <c r="L24" s="142">
        <f t="shared" si="16"/>
        <v>107213.5352</v>
      </c>
      <c r="M24" s="142">
        <f t="shared" si="16"/>
        <v>108285.6706</v>
      </c>
      <c r="N24" s="142">
        <f t="shared" si="16"/>
        <v>109368.5273</v>
      </c>
      <c r="O24" s="1"/>
    </row>
    <row r="25" ht="13.5" customHeight="1">
      <c r="A25" s="1"/>
      <c r="B25" s="117" t="s">
        <v>108</v>
      </c>
      <c r="C25" s="126"/>
      <c r="D25" s="146">
        <v>50000.0</v>
      </c>
      <c r="E25" s="141">
        <v>50000.0</v>
      </c>
      <c r="F25" s="142">
        <f t="shared" ref="F25:N25" si="17">E25*F$18+E25</f>
        <v>50500</v>
      </c>
      <c r="G25" s="142">
        <f t="shared" si="17"/>
        <v>51005</v>
      </c>
      <c r="H25" s="142">
        <f t="shared" si="17"/>
        <v>51515.05</v>
      </c>
      <c r="I25" s="142">
        <f t="shared" si="17"/>
        <v>52030.2005</v>
      </c>
      <c r="J25" s="142">
        <f t="shared" si="17"/>
        <v>52550.50251</v>
      </c>
      <c r="K25" s="142">
        <f t="shared" si="17"/>
        <v>53076.00753</v>
      </c>
      <c r="L25" s="142">
        <f t="shared" si="17"/>
        <v>53606.76761</v>
      </c>
      <c r="M25" s="142">
        <f t="shared" si="17"/>
        <v>54142.83528</v>
      </c>
      <c r="N25" s="142">
        <f t="shared" si="17"/>
        <v>54684.26363</v>
      </c>
      <c r="O25" s="1"/>
    </row>
    <row r="26" ht="13.5" customHeight="1">
      <c r="A26" s="1"/>
      <c r="B26" s="117" t="s">
        <v>109</v>
      </c>
      <c r="C26" s="126"/>
      <c r="D26" s="146">
        <f t="shared" ref="D26:N26" si="18">SUM(D27:D30)</f>
        <v>105000</v>
      </c>
      <c r="E26" s="141">
        <f t="shared" si="18"/>
        <v>105000</v>
      </c>
      <c r="F26" s="141">
        <f t="shared" si="18"/>
        <v>106050</v>
      </c>
      <c r="G26" s="141">
        <f t="shared" si="18"/>
        <v>107110.5</v>
      </c>
      <c r="H26" s="141">
        <f t="shared" si="18"/>
        <v>108181.605</v>
      </c>
      <c r="I26" s="141">
        <f t="shared" si="18"/>
        <v>109263.4211</v>
      </c>
      <c r="J26" s="141">
        <f t="shared" si="18"/>
        <v>110356.0553</v>
      </c>
      <c r="K26" s="141">
        <f t="shared" si="18"/>
        <v>111459.6158</v>
      </c>
      <c r="L26" s="141">
        <f t="shared" si="18"/>
        <v>112574.212</v>
      </c>
      <c r="M26" s="141">
        <f t="shared" si="18"/>
        <v>113699.9541</v>
      </c>
      <c r="N26" s="141">
        <f t="shared" si="18"/>
        <v>114836.9536</v>
      </c>
      <c r="O26" s="1"/>
    </row>
    <row r="27" ht="13.5" hidden="1" customHeight="1" outlineLevel="1">
      <c r="A27" s="1"/>
      <c r="B27" s="117" t="s">
        <v>110</v>
      </c>
      <c r="C27" s="126"/>
      <c r="D27" s="146">
        <v>50000.0</v>
      </c>
      <c r="E27" s="141">
        <v>50000.0</v>
      </c>
      <c r="F27" s="142">
        <f t="shared" ref="F27:N27" si="19">E27*F$18+E27</f>
        <v>50500</v>
      </c>
      <c r="G27" s="142">
        <f t="shared" si="19"/>
        <v>51005</v>
      </c>
      <c r="H27" s="142">
        <f t="shared" si="19"/>
        <v>51515.05</v>
      </c>
      <c r="I27" s="142">
        <f t="shared" si="19"/>
        <v>52030.2005</v>
      </c>
      <c r="J27" s="142">
        <f t="shared" si="19"/>
        <v>52550.50251</v>
      </c>
      <c r="K27" s="142">
        <f t="shared" si="19"/>
        <v>53076.00753</v>
      </c>
      <c r="L27" s="142">
        <f t="shared" si="19"/>
        <v>53606.76761</v>
      </c>
      <c r="M27" s="142">
        <f t="shared" si="19"/>
        <v>54142.83528</v>
      </c>
      <c r="N27" s="142">
        <f t="shared" si="19"/>
        <v>54684.26363</v>
      </c>
      <c r="O27" s="1"/>
    </row>
    <row r="28" ht="13.5" hidden="1" customHeight="1" outlineLevel="1">
      <c r="A28" s="1"/>
      <c r="B28" s="117" t="s">
        <v>111</v>
      </c>
      <c r="C28" s="126"/>
      <c r="D28" s="146">
        <v>25000.0</v>
      </c>
      <c r="E28" s="141">
        <v>25000.0</v>
      </c>
      <c r="F28" s="142">
        <f t="shared" ref="F28:N28" si="20">E28*F$18+E28</f>
        <v>25250</v>
      </c>
      <c r="G28" s="142">
        <f t="shared" si="20"/>
        <v>25502.5</v>
      </c>
      <c r="H28" s="142">
        <f t="shared" si="20"/>
        <v>25757.525</v>
      </c>
      <c r="I28" s="142">
        <f t="shared" si="20"/>
        <v>26015.10025</v>
      </c>
      <c r="J28" s="142">
        <f t="shared" si="20"/>
        <v>26275.25125</v>
      </c>
      <c r="K28" s="142">
        <f t="shared" si="20"/>
        <v>26538.00377</v>
      </c>
      <c r="L28" s="142">
        <f t="shared" si="20"/>
        <v>26803.3838</v>
      </c>
      <c r="M28" s="142">
        <f t="shared" si="20"/>
        <v>27071.41764</v>
      </c>
      <c r="N28" s="142">
        <f t="shared" si="20"/>
        <v>27342.13182</v>
      </c>
      <c r="O28" s="1"/>
    </row>
    <row r="29" ht="13.5" hidden="1" customHeight="1" outlineLevel="1">
      <c r="A29" s="1"/>
      <c r="B29" s="117" t="s">
        <v>112</v>
      </c>
      <c r="C29" s="126"/>
      <c r="D29" s="146">
        <v>30000.0</v>
      </c>
      <c r="E29" s="141">
        <v>30000.0</v>
      </c>
      <c r="F29" s="142">
        <f t="shared" ref="F29:N29" si="21">E29*F$18+E29</f>
        <v>30300</v>
      </c>
      <c r="G29" s="142">
        <f t="shared" si="21"/>
        <v>30603</v>
      </c>
      <c r="H29" s="142">
        <f t="shared" si="21"/>
        <v>30909.03</v>
      </c>
      <c r="I29" s="142">
        <f t="shared" si="21"/>
        <v>31218.1203</v>
      </c>
      <c r="J29" s="142">
        <f t="shared" si="21"/>
        <v>31530.3015</v>
      </c>
      <c r="K29" s="142">
        <f t="shared" si="21"/>
        <v>31845.60452</v>
      </c>
      <c r="L29" s="142">
        <f t="shared" si="21"/>
        <v>32164.06056</v>
      </c>
      <c r="M29" s="142">
        <f t="shared" si="21"/>
        <v>32485.70117</v>
      </c>
      <c r="N29" s="142">
        <f t="shared" si="21"/>
        <v>32810.55818</v>
      </c>
      <c r="O29" s="1"/>
    </row>
    <row r="30" ht="13.5" hidden="1" customHeight="1" outlineLevel="1">
      <c r="A30" s="1"/>
      <c r="B30" s="117"/>
      <c r="C30" s="126"/>
      <c r="D30" s="146">
        <v>0.0</v>
      </c>
      <c r="E30" s="141">
        <f t="shared" ref="E30:E31" si="23">D30</f>
        <v>0</v>
      </c>
      <c r="F30" s="142">
        <f t="shared" ref="F30:N30" si="22">E30*F$18+E30</f>
        <v>0</v>
      </c>
      <c r="G30" s="142">
        <f t="shared" si="22"/>
        <v>0</v>
      </c>
      <c r="H30" s="142">
        <f t="shared" si="22"/>
        <v>0</v>
      </c>
      <c r="I30" s="142">
        <f t="shared" si="22"/>
        <v>0</v>
      </c>
      <c r="J30" s="142">
        <f t="shared" si="22"/>
        <v>0</v>
      </c>
      <c r="K30" s="142">
        <f t="shared" si="22"/>
        <v>0</v>
      </c>
      <c r="L30" s="142">
        <f t="shared" si="22"/>
        <v>0</v>
      </c>
      <c r="M30" s="142">
        <f t="shared" si="22"/>
        <v>0</v>
      </c>
      <c r="N30" s="142">
        <f t="shared" si="22"/>
        <v>0</v>
      </c>
      <c r="O30" s="1"/>
    </row>
    <row r="31" ht="13.5" customHeight="1" collapsed="1">
      <c r="A31" s="1"/>
      <c r="B31" s="117" t="s">
        <v>113</v>
      </c>
      <c r="C31" s="126"/>
      <c r="D31" s="146">
        <f>'Global Inputs'!C13/100</f>
        <v>2000000</v>
      </c>
      <c r="E31" s="141">
        <f t="shared" si="23"/>
        <v>2000000</v>
      </c>
      <c r="F31" s="142">
        <f t="shared" ref="F31:N31" si="24">E31*F$18+E31</f>
        <v>2020000</v>
      </c>
      <c r="G31" s="142">
        <f t="shared" si="24"/>
        <v>2040200</v>
      </c>
      <c r="H31" s="142">
        <f t="shared" si="24"/>
        <v>2060602</v>
      </c>
      <c r="I31" s="142">
        <f t="shared" si="24"/>
        <v>2081208.02</v>
      </c>
      <c r="J31" s="142">
        <f t="shared" si="24"/>
        <v>2102020.1</v>
      </c>
      <c r="K31" s="142">
        <f t="shared" si="24"/>
        <v>2123040.301</v>
      </c>
      <c r="L31" s="142">
        <f t="shared" si="24"/>
        <v>2144270.704</v>
      </c>
      <c r="M31" s="142">
        <f t="shared" si="24"/>
        <v>2165713.411</v>
      </c>
      <c r="N31" s="142">
        <f t="shared" si="24"/>
        <v>2187370.545</v>
      </c>
      <c r="O31" s="1"/>
    </row>
    <row r="32" ht="13.5" customHeight="1">
      <c r="A32" s="1"/>
      <c r="B32" s="117" t="s">
        <v>114</v>
      </c>
      <c r="C32" s="126"/>
      <c r="D32" s="146">
        <v>75000.0</v>
      </c>
      <c r="E32" s="141">
        <v>75000.0</v>
      </c>
      <c r="F32" s="142">
        <f t="shared" ref="F32:N32" si="25">E32*F$18+E32</f>
        <v>75750</v>
      </c>
      <c r="G32" s="142">
        <f t="shared" si="25"/>
        <v>76507.5</v>
      </c>
      <c r="H32" s="142">
        <f t="shared" si="25"/>
        <v>77272.575</v>
      </c>
      <c r="I32" s="142">
        <f t="shared" si="25"/>
        <v>78045.30075</v>
      </c>
      <c r="J32" s="142">
        <f t="shared" si="25"/>
        <v>78825.75376</v>
      </c>
      <c r="K32" s="142">
        <f t="shared" si="25"/>
        <v>79614.0113</v>
      </c>
      <c r="L32" s="142">
        <f t="shared" si="25"/>
        <v>80410.15141</v>
      </c>
      <c r="M32" s="142">
        <f t="shared" si="25"/>
        <v>81214.25292</v>
      </c>
      <c r="N32" s="142">
        <f t="shared" si="25"/>
        <v>82026.39545</v>
      </c>
      <c r="O32" s="1"/>
    </row>
    <row r="33" ht="13.5" customHeight="1">
      <c r="A33" s="1"/>
      <c r="B33" s="147" t="s">
        <v>115</v>
      </c>
      <c r="C33" s="126"/>
      <c r="D33" s="148">
        <f>IF('helper data'!$C8="yes",'helper data'!C9,SUM(D19:D23,D24:D26,D31:D32))</f>
        <v>3548134.8</v>
      </c>
      <c r="E33" s="148">
        <f>IF('helper data'!$C8="yes",'helper data'!D9,SUM(E19:E23,E24:E26,E31:E32))</f>
        <v>3575354.04</v>
      </c>
      <c r="F33" s="148">
        <f>IF('helper data'!$C8="yes",'helper data'!E9,SUM(F19:F23,F24:F26,F31:F32))</f>
        <v>3633971.742</v>
      </c>
      <c r="G33" s="148">
        <f>IF('helper data'!$C8="yes",'helper data'!F9,SUM(G19:G23,G24:G26,G31:G32))</f>
        <v>3694318.829</v>
      </c>
      <c r="H33" s="148">
        <f>IF('helper data'!$C8="yes",'helper data'!G9,SUM(H19:H23,H24:H26,H31:H32))</f>
        <v>3756469.756</v>
      </c>
      <c r="I33" s="148">
        <f>IF('helper data'!$C8="yes",'helper data'!H9,SUM(I19:I23,I24:I26,I31:I32))</f>
        <v>3820502.578</v>
      </c>
      <c r="J33" s="148">
        <f>IF('helper data'!$C8="yes",'helper data'!I9,SUM(J19:J23,J24:J26,J31:J32))</f>
        <v>3886499.135</v>
      </c>
      <c r="K33" s="148">
        <f>IF('helper data'!$C8="yes",'helper data'!J9,SUM(K19:K23,K24:K26,K31:K32))</f>
        <v>3954545.235</v>
      </c>
      <c r="L33" s="148">
        <f>IF('helper data'!$C8="yes",'helper data'!K9,SUM(L19:L23,L24:L26,L31:L32))</f>
        <v>4024730.85</v>
      </c>
      <c r="M33" s="148">
        <f>IF('helper data'!$C8="yes",'helper data'!L9,SUM(M19:M23,M24:M26,M31:M32))</f>
        <v>4097150.33</v>
      </c>
      <c r="N33" s="148">
        <f>IF('helper data'!$C8="yes",'helper data'!M9,SUM(N19:N23,N24:N26,N31:N32))</f>
        <v>4171902.613</v>
      </c>
      <c r="O33" s="1"/>
    </row>
    <row r="34" ht="13.5" customHeight="1">
      <c r="A34" s="1"/>
      <c r="B34" s="149" t="s">
        <v>116</v>
      </c>
      <c r="C34" s="150"/>
      <c r="D34" s="151">
        <f t="shared" ref="D34:N34" si="26">D14-D33</f>
        <v>10061485.2</v>
      </c>
      <c r="E34" s="152">
        <f t="shared" si="26"/>
        <v>10714746.96</v>
      </c>
      <c r="F34" s="152">
        <f t="shared" si="26"/>
        <v>11370634.31</v>
      </c>
      <c r="G34" s="152">
        <f t="shared" si="26"/>
        <v>12060517.52</v>
      </c>
      <c r="H34" s="152">
        <f t="shared" si="26"/>
        <v>12786108.41</v>
      </c>
      <c r="I34" s="152">
        <f t="shared" si="26"/>
        <v>13549204.5</v>
      </c>
      <c r="J34" s="152">
        <f t="shared" si="26"/>
        <v>14351693.3</v>
      </c>
      <c r="K34" s="152">
        <f t="shared" si="26"/>
        <v>15195556.82</v>
      </c>
      <c r="L34" s="152">
        <f t="shared" si="26"/>
        <v>16082876.31</v>
      </c>
      <c r="M34" s="152">
        <f t="shared" si="26"/>
        <v>17015837.18</v>
      </c>
      <c r="N34" s="152">
        <f t="shared" si="26"/>
        <v>17996734.28</v>
      </c>
      <c r="O34" s="1"/>
    </row>
    <row r="35" ht="13.5" customHeight="1" outlineLevel="1">
      <c r="A35" s="1"/>
      <c r="B35" s="121" t="s">
        <v>117</v>
      </c>
      <c r="C35" s="126"/>
      <c r="D35" s="153"/>
      <c r="E35" s="141">
        <f>IF(E3&lt;=$D66,SUMIFS(Debt!$D:$D,Debt!$K:$K,'Pro Forma Detail'!E17)-SUMIFS(Debt!$S:$S,Debt!$K:$K,E3)-IF(E3=$D66,SUM(Debt!$R:$R),0),SUMIFS('Debt ReFi'!$D:$D,'Debt ReFi'!$K:$K,E3))</f>
        <v>3373090.102</v>
      </c>
      <c r="F35" s="141">
        <f>IF(F3&lt;=$D66,SUMIFS(Debt!$D:$D,Debt!$K:$K,'Pro Forma Detail'!F17)-SUMIFS(Debt!$S:$S,Debt!$K:$K,F3)-IF(F3=$D66,SUM(Debt!$R:$R),0),SUMIFS('Debt ReFi'!$D:$D,'Debt ReFi'!$K:$K,F3))</f>
        <v>3467028.219</v>
      </c>
      <c r="G35" s="141">
        <f>IF(G3&lt;=$D66,SUMIFS(Debt!$D:$D,Debt!$K:$K,'Pro Forma Detail'!G17)-SUMIFS(Debt!$S:$S,Debt!$K:$K,G3)-IF(G3=$D66,SUM(Debt!$R:$R),0),SUMIFS('Debt ReFi'!$D:$D,'Debt ReFi'!$K:$K,G3))</f>
        <v>3563582.445</v>
      </c>
      <c r="H35" s="141">
        <f>IF(H3&lt;=$D66,SUMIFS(Debt!$D:$D,Debt!$K:$K,'Pro Forma Detail'!H17)-SUMIFS(Debt!$S:$S,Debt!$K:$K,H3)-IF(H3=$D66,SUM(Debt!$R:$R),0),SUMIFS('Debt ReFi'!$D:$D,'Debt ReFi'!$K:$K,H3))</f>
        <v>3045346.457</v>
      </c>
      <c r="I35" s="141">
        <f>IF(I3&lt;=$D66,SUMIFS(Debt!$D:$D,Debt!$K:$K,'Pro Forma Detail'!I17)-SUMIFS(Debt!$S:$S,Debt!$K:$K,I3)-IF(I3=$D66,SUM(Debt!$R:$R),0),SUMIFS('Debt ReFi'!$D:$D,'Debt ReFi'!$K:$K,I3))</f>
        <v>2608590.468</v>
      </c>
      <c r="J35" s="141">
        <f>IF(J3&lt;=$D66,SUMIFS(Debt!$D:$D,Debt!$K:$K,'Pro Forma Detail'!J17)-SUMIFS(Debt!$S:$S,Debt!$K:$K,J3)-IF(J3=$D66,SUM(Debt!$R:$R),0),SUMIFS('Debt ReFi'!$D:$D,'Debt ReFi'!$K:$K,J3))</f>
        <v>2681237.824</v>
      </c>
      <c r="K35" s="141">
        <f>IF(K3&lt;=$D66,SUMIFS(Debt!$D:$D,Debt!$K:$K,'Pro Forma Detail'!K17)-SUMIFS(Debt!$S:$S,Debt!$K:$K,K3)-IF(K3=$D66,SUM(Debt!$R:$R),0),SUMIFS('Debt ReFi'!$D:$D,'Debt ReFi'!$K:$K,K3))</f>
        <v>2755908.356</v>
      </c>
      <c r="L35" s="141">
        <f>IF(L3&lt;=$D66,SUMIFS(Debt!$D:$D,Debt!$K:$K,'Pro Forma Detail'!L17)-SUMIFS(Debt!$S:$S,Debt!$K:$K,L3)-IF(L3=$D66,SUM(Debt!$R:$R),0),SUMIFS('Debt ReFi'!$D:$D,'Debt ReFi'!$K:$K,L3))</f>
        <v>2832658.409</v>
      </c>
      <c r="M35" s="141">
        <f>IF(M3&lt;=$D66,SUMIFS(Debt!$D:$D,Debt!$K:$K,'Pro Forma Detail'!M17)-SUMIFS(Debt!$S:$S,Debt!$K:$K,M3)-IF(M3=$D66,SUM(Debt!$R:$R),0),SUMIFS('Debt ReFi'!$D:$D,'Debt ReFi'!$K:$K,M3))</f>
        <v>2911545.895</v>
      </c>
      <c r="N35" s="141">
        <f>IF(N3&lt;=$D66,SUMIFS(Debt!$D:$D,Debt!$K:$K,'Pro Forma Detail'!N17)-SUMIFS(Debt!$S:$S,Debt!$K:$K,N3)-IF(N3=$D66,SUM(Debt!$R:$R),0),SUMIFS('Debt ReFi'!$D:$D,'Debt ReFi'!$K:$K,N3))</f>
        <v>2992630.34</v>
      </c>
      <c r="O35" s="1"/>
    </row>
    <row r="36" ht="13.5" customHeight="1" outlineLevel="1">
      <c r="A36" s="1"/>
      <c r="B36" s="117" t="s">
        <v>118</v>
      </c>
      <c r="C36" s="126"/>
      <c r="D36" s="154"/>
      <c r="E36" s="142">
        <f>IF(E3&lt;=$D66,SUMIFS(Debt!$C:$C,Debt!$K:$K,'Pro Forma Detail'!E17),SUMIFS('Debt ReFi'!$C:$C,'Debt ReFi'!$K:$K,E3))</f>
        <v>4220195.865</v>
      </c>
      <c r="F36" s="142">
        <f>IF(F3&lt;=$D66,SUMIFS(Debt!$C:$C,Debt!$K:$K,'Pro Forma Detail'!F17),SUMIFS('Debt ReFi'!$C:$C,'Debt ReFi'!$K:$K,F3))</f>
        <v>4126257.747</v>
      </c>
      <c r="G36" s="142">
        <f>IF(G3&lt;=$D66,SUMIFS(Debt!$C:$C,Debt!$K:$K,'Pro Forma Detail'!G17),SUMIFS('Debt ReFi'!$C:$C,'Debt ReFi'!$K:$K,G3))</f>
        <v>4029703.521</v>
      </c>
      <c r="H36" s="142">
        <f>IF(H3&lt;=$D66,SUMIFS(Debt!$C:$C,Debt!$K:$K,'Pro Forma Detail'!H17),SUMIFS('Debt ReFi'!$C:$C,'Debt ReFi'!$K:$K,H3))</f>
        <v>3930460.33</v>
      </c>
      <c r="I36" s="142">
        <f>IF(I3&lt;=$D66,SUMIFS(Debt!$C:$C,Debt!$K:$K,'Pro Forma Detail'!I17),SUMIFS('Debt ReFi'!$C:$C,'Debt ReFi'!$K:$K,I3))</f>
        <v>3263702.532</v>
      </c>
      <c r="J36" s="142">
        <f>IF(J3&lt;=$D66,SUMIFS(Debt!$C:$C,Debt!$K:$K,'Pro Forma Detail'!J17),SUMIFS('Debt ReFi'!$C:$C,'Debt ReFi'!$K:$K,J3))</f>
        <v>3191055.176</v>
      </c>
      <c r="K36" s="142">
        <f>IF(K3&lt;=$D66,SUMIFS(Debt!$C:$C,Debt!$K:$K,'Pro Forma Detail'!K17),SUMIFS('Debt ReFi'!$C:$C,'Debt ReFi'!$K:$K,K3))</f>
        <v>3116384.643</v>
      </c>
      <c r="L36" s="142">
        <f>IF(L3&lt;=$D66,SUMIFS(Debt!$C:$C,Debt!$K:$K,'Pro Forma Detail'!L17),SUMIFS('Debt ReFi'!$C:$C,'Debt ReFi'!$K:$K,L3))</f>
        <v>3039634.591</v>
      </c>
      <c r="M36" s="142">
        <f>IF(M3&lt;=$D66,SUMIFS(Debt!$C:$C,Debt!$K:$K,'Pro Forma Detail'!M17),SUMIFS('Debt ReFi'!$C:$C,'Debt ReFi'!$K:$K,M3))</f>
        <v>2960747.105</v>
      </c>
      <c r="N36" s="142">
        <f>IF(N3&lt;=$D66,SUMIFS(Debt!$C:$C,Debt!$K:$K,'Pro Forma Detail'!N17),SUMIFS('Debt ReFi'!$C:$C,'Debt ReFi'!$K:$K,N3))</f>
        <v>2879662.66</v>
      </c>
      <c r="O36" s="1"/>
    </row>
    <row r="37" ht="13.5" customHeight="1">
      <c r="A37" s="1"/>
      <c r="B37" s="155" t="s">
        <v>119</v>
      </c>
      <c r="C37" s="156"/>
      <c r="D37" s="154"/>
      <c r="E37" s="157">
        <f t="shared" ref="E37:N37" si="27">SUM(E35:E36)</f>
        <v>7593285.967</v>
      </c>
      <c r="F37" s="157">
        <f t="shared" si="27"/>
        <v>7593285.967</v>
      </c>
      <c r="G37" s="157">
        <f t="shared" si="27"/>
        <v>7593285.967</v>
      </c>
      <c r="H37" s="157">
        <f t="shared" si="27"/>
        <v>6975806.787</v>
      </c>
      <c r="I37" s="157">
        <f t="shared" si="27"/>
        <v>5872292.999</v>
      </c>
      <c r="J37" s="157">
        <f t="shared" si="27"/>
        <v>5872292.999</v>
      </c>
      <c r="K37" s="157">
        <f t="shared" si="27"/>
        <v>5872292.999</v>
      </c>
      <c r="L37" s="157">
        <f t="shared" si="27"/>
        <v>5872292.999</v>
      </c>
      <c r="M37" s="157">
        <f t="shared" si="27"/>
        <v>5872292.999</v>
      </c>
      <c r="N37" s="157">
        <f t="shared" si="27"/>
        <v>5872292.999</v>
      </c>
      <c r="O37" s="1"/>
    </row>
    <row r="38" ht="13.5" customHeight="1">
      <c r="A38" s="1"/>
      <c r="B38" s="158" t="s">
        <v>45</v>
      </c>
      <c r="C38" s="126"/>
      <c r="D38" s="159">
        <f>D34-'Global Inputs'!C27</f>
        <v>2468199.233</v>
      </c>
      <c r="E38" s="160">
        <f t="shared" ref="E38:N38" si="28">E34-E37</f>
        <v>3121460.993</v>
      </c>
      <c r="F38" s="160">
        <f t="shared" si="28"/>
        <v>3777348.341</v>
      </c>
      <c r="G38" s="160">
        <f t="shared" si="28"/>
        <v>4467231.557</v>
      </c>
      <c r="H38" s="160">
        <f t="shared" si="28"/>
        <v>5810301.627</v>
      </c>
      <c r="I38" s="160">
        <f t="shared" si="28"/>
        <v>7676911.501</v>
      </c>
      <c r="J38" s="160">
        <f t="shared" si="28"/>
        <v>8479400.298</v>
      </c>
      <c r="K38" s="160">
        <f t="shared" si="28"/>
        <v>9323263.82</v>
      </c>
      <c r="L38" s="160">
        <f t="shared" si="28"/>
        <v>10210583.31</v>
      </c>
      <c r="M38" s="160">
        <f t="shared" si="28"/>
        <v>11143544.19</v>
      </c>
      <c r="N38" s="160">
        <f t="shared" si="28"/>
        <v>12124441.28</v>
      </c>
      <c r="O38" s="161"/>
    </row>
    <row r="39" ht="13.5" customHeight="1">
      <c r="A39" s="1"/>
      <c r="B39" s="162" t="str">
        <f>"Reserves (CapEx $"&amp;C39&amp;" @ unit)"</f>
        <v>Reserves (CapEx $150 @ unit)</v>
      </c>
      <c r="C39" s="163">
        <v>150.0</v>
      </c>
      <c r="D39" s="164">
        <v>150.0</v>
      </c>
      <c r="E39" s="163">
        <f>-$C39*'Global Inputs'!$C5</f>
        <v>-262500</v>
      </c>
      <c r="F39" s="163">
        <f>-$C39*'Global Inputs'!$C5</f>
        <v>-262500</v>
      </c>
      <c r="G39" s="163">
        <f>-$C39*'Global Inputs'!$C5</f>
        <v>-262500</v>
      </c>
      <c r="H39" s="163">
        <f>-$C39*'Global Inputs'!$C5</f>
        <v>-262500</v>
      </c>
      <c r="I39" s="163">
        <f>-$C39*'Global Inputs'!$C5</f>
        <v>-262500</v>
      </c>
      <c r="J39" s="163">
        <f>-$C39*'Global Inputs'!$C5</f>
        <v>-262500</v>
      </c>
      <c r="K39" s="163">
        <f>-$C39*'Global Inputs'!$C5</f>
        <v>-262500</v>
      </c>
      <c r="L39" s="163">
        <f>-$C39*'Global Inputs'!$C5</f>
        <v>-262500</v>
      </c>
      <c r="M39" s="163">
        <f>-$C39*'Global Inputs'!$C5</f>
        <v>-262500</v>
      </c>
      <c r="N39" s="163">
        <f>-$C39*'Global Inputs'!$C5</f>
        <v>-262500</v>
      </c>
      <c r="O39" s="1"/>
    </row>
    <row r="40" ht="12.75" customHeight="1">
      <c r="A40" s="1"/>
      <c r="B40" s="165" t="s">
        <v>120</v>
      </c>
      <c r="C40" s="166"/>
      <c r="D40" s="167">
        <f t="shared" ref="D40:N40" si="29">D38+D39</f>
        <v>2468349.233</v>
      </c>
      <c r="E40" s="168">
        <f t="shared" si="29"/>
        <v>2858960.993</v>
      </c>
      <c r="F40" s="168">
        <f t="shared" si="29"/>
        <v>3514848.341</v>
      </c>
      <c r="G40" s="168">
        <f t="shared" si="29"/>
        <v>4204731.557</v>
      </c>
      <c r="H40" s="168">
        <f t="shared" si="29"/>
        <v>5547801.627</v>
      </c>
      <c r="I40" s="168">
        <f t="shared" si="29"/>
        <v>7414411.501</v>
      </c>
      <c r="J40" s="168">
        <f t="shared" si="29"/>
        <v>8216900.298</v>
      </c>
      <c r="K40" s="168">
        <f t="shared" si="29"/>
        <v>9060763.82</v>
      </c>
      <c r="L40" s="168">
        <f t="shared" si="29"/>
        <v>9948083.307</v>
      </c>
      <c r="M40" s="168">
        <f t="shared" si="29"/>
        <v>10881044.19</v>
      </c>
      <c r="N40" s="168">
        <f t="shared" si="29"/>
        <v>11861941.28</v>
      </c>
      <c r="O40" s="1"/>
    </row>
    <row r="41" ht="12.75" customHeight="1">
      <c r="A41" s="1"/>
      <c r="B41" s="169" t="s">
        <v>46</v>
      </c>
      <c r="C41" s="129"/>
      <c r="D41" s="170">
        <f>D40/'Global Inputs'!$C19</f>
        <v>0.04451486444</v>
      </c>
      <c r="E41" s="170">
        <f>E40/'Global Inputs'!$C19</f>
        <v>0.05155926048</v>
      </c>
      <c r="F41" s="170">
        <f>F40/'Global Inputs'!$C19</f>
        <v>0.06338770679</v>
      </c>
      <c r="G41" s="170">
        <f>G40/'Global Inputs'!$C19</f>
        <v>0.07582924359</v>
      </c>
      <c r="H41" s="170">
        <f>H40/'Global Inputs'!$C19</f>
        <v>0.1000505253</v>
      </c>
      <c r="I41" s="170">
        <f>I40/'Global Inputs'!$C19</f>
        <v>0.1337134626</v>
      </c>
      <c r="J41" s="170">
        <f>J40/'Global Inputs'!$C19</f>
        <v>0.1481857583</v>
      </c>
      <c r="K41" s="170">
        <f>K40/'Global Inputs'!$C19</f>
        <v>0.1634042168</v>
      </c>
      <c r="L41" s="170">
        <f>L40/'Global Inputs'!$C19</f>
        <v>0.1794063716</v>
      </c>
      <c r="M41" s="170">
        <f>M40/'Global Inputs'!$C19</f>
        <v>0.1962316354</v>
      </c>
      <c r="N41" s="170">
        <f>N40/'Global Inputs'!$C19</f>
        <v>0.2139213936</v>
      </c>
      <c r="O41" s="1"/>
    </row>
    <row r="42" ht="12.75" customHeight="1">
      <c r="A42" s="1"/>
      <c r="B42" s="1"/>
      <c r="C42" s="1"/>
      <c r="D42" s="1"/>
      <c r="E42" s="1"/>
      <c r="F42" s="1"/>
      <c r="G42" s="161"/>
      <c r="H42" s="1"/>
      <c r="I42" s="1"/>
      <c r="J42" s="1"/>
      <c r="K42" s="1"/>
      <c r="L42" s="1"/>
      <c r="M42" s="1"/>
      <c r="N42" s="1"/>
      <c r="O42" s="1"/>
    </row>
    <row r="43" ht="12.75" customHeight="1">
      <c r="A43" s="1"/>
      <c r="B43" s="1"/>
      <c r="C43" s="1"/>
      <c r="D43" s="1"/>
      <c r="E43" s="1"/>
      <c r="F43" s="1"/>
      <c r="G43" s="161"/>
      <c r="H43" s="1"/>
      <c r="I43" s="1"/>
      <c r="J43" s="1"/>
      <c r="K43" s="1"/>
      <c r="L43" s="1"/>
      <c r="M43" s="1"/>
      <c r="N43" s="1"/>
      <c r="O43" s="1"/>
    </row>
    <row r="44" ht="12.75" customHeight="1">
      <c r="A44" s="1"/>
      <c r="B44" s="1" t="s">
        <v>121</v>
      </c>
      <c r="C44" s="171">
        <v>1000000.0</v>
      </c>
      <c r="D44" s="172">
        <f>C44/-'Global Inputs'!C39</f>
        <v>0.0182164294</v>
      </c>
      <c r="E44" s="1"/>
      <c r="F44" s="1"/>
      <c r="G44" s="1"/>
      <c r="H44" s="1"/>
      <c r="I44" s="1"/>
      <c r="J44" s="1"/>
      <c r="K44" s="1"/>
      <c r="L44" s="1"/>
      <c r="M44" s="1"/>
      <c r="N44" s="1"/>
      <c r="O44" s="1"/>
    </row>
    <row r="45" ht="12.75" customHeight="1">
      <c r="A45" s="1"/>
      <c r="B45" s="1"/>
      <c r="C45" s="1"/>
      <c r="D45" s="1"/>
      <c r="E45" s="1"/>
      <c r="F45" s="1"/>
      <c r="G45" s="1"/>
      <c r="H45" s="1"/>
      <c r="I45" s="1"/>
      <c r="J45" s="1"/>
      <c r="K45" s="1"/>
      <c r="L45" s="1"/>
      <c r="M45" s="1"/>
      <c r="N45" s="1"/>
      <c r="O45" s="1"/>
    </row>
    <row r="46" ht="12.75" customHeight="1">
      <c r="A46" s="1"/>
      <c r="B46" s="173" t="s">
        <v>122</v>
      </c>
      <c r="C46" s="1"/>
      <c r="D46" s="1"/>
      <c r="E46" s="105"/>
      <c r="F46" s="105"/>
      <c r="G46" s="105"/>
      <c r="H46" s="105"/>
      <c r="I46" s="105"/>
      <c r="J46" s="105"/>
      <c r="K46" s="105"/>
      <c r="L46" s="105"/>
      <c r="M46" s="105"/>
      <c r="N46" s="105"/>
      <c r="O46" s="1"/>
    </row>
    <row r="47" ht="12.75" customHeight="1">
      <c r="A47" s="1"/>
      <c r="B47" s="1"/>
      <c r="C47" s="1"/>
      <c r="D47" s="1"/>
      <c r="E47" s="1"/>
      <c r="F47" s="1"/>
      <c r="G47" s="1"/>
      <c r="H47" s="1"/>
      <c r="I47" s="1"/>
      <c r="J47" s="1"/>
      <c r="K47" s="1"/>
      <c r="L47" s="1"/>
      <c r="M47" s="1"/>
      <c r="N47" s="1"/>
      <c r="O47" s="1"/>
    </row>
    <row r="48" ht="12.75" customHeight="1">
      <c r="A48" s="1"/>
      <c r="B48" s="1"/>
      <c r="C48" s="1"/>
      <c r="D48" s="1"/>
      <c r="E48" s="1"/>
      <c r="F48" s="1"/>
      <c r="G48" s="1"/>
      <c r="H48" s="1"/>
      <c r="I48" s="1"/>
      <c r="J48" s="1"/>
      <c r="K48" s="1"/>
      <c r="L48" s="1"/>
      <c r="M48" s="1"/>
      <c r="N48" s="1"/>
      <c r="O48" s="1"/>
    </row>
    <row r="49" ht="12.75" customHeight="1">
      <c r="A49" s="1"/>
      <c r="B49" s="174" t="s">
        <v>123</v>
      </c>
      <c r="C49" s="174"/>
      <c r="D49" s="174"/>
      <c r="E49" s="175">
        <f>Waterfall!F72</f>
        <v>2830371.383</v>
      </c>
      <c r="F49" s="175">
        <f>Waterfall!G72</f>
        <v>3479699.858</v>
      </c>
      <c r="G49" s="175">
        <f>Waterfall!H72</f>
        <v>4162684.241</v>
      </c>
      <c r="H49" s="175">
        <f>Waterfall!I72</f>
        <v>-18387959.23</v>
      </c>
      <c r="I49" s="175">
        <f>Waterfall!J72</f>
        <v>7340267.386</v>
      </c>
      <c r="J49" s="175">
        <f>Waterfall!K72</f>
        <v>8134731.295</v>
      </c>
      <c r="K49" s="175">
        <f>Waterfall!L72</f>
        <v>8970156.182</v>
      </c>
      <c r="L49" s="175">
        <f>Waterfall!M72</f>
        <v>9848602.474</v>
      </c>
      <c r="M49" s="175">
        <f>Waterfall!N72</f>
        <v>10772233.74</v>
      </c>
      <c r="N49" s="175">
        <f>Waterfall!O72</f>
        <v>106495573.6</v>
      </c>
      <c r="O49" s="1"/>
    </row>
    <row r="50" ht="12.75" customHeight="1">
      <c r="A50" s="1"/>
      <c r="B50" s="176" t="s">
        <v>124</v>
      </c>
      <c r="C50" s="1"/>
      <c r="D50" s="1"/>
      <c r="E50" s="177">
        <f t="shared" ref="E50:N50" si="30">E49*$D44</f>
        <v>51559.26048</v>
      </c>
      <c r="F50" s="177">
        <f t="shared" si="30"/>
        <v>63387.70679</v>
      </c>
      <c r="G50" s="177">
        <f t="shared" si="30"/>
        <v>75829.24359</v>
      </c>
      <c r="H50" s="177">
        <f t="shared" si="30"/>
        <v>-334962.9612</v>
      </c>
      <c r="I50" s="177">
        <f t="shared" si="30"/>
        <v>133713.4626</v>
      </c>
      <c r="J50" s="177">
        <f t="shared" si="30"/>
        <v>148185.7583</v>
      </c>
      <c r="K50" s="177">
        <f t="shared" si="30"/>
        <v>163404.2168</v>
      </c>
      <c r="L50" s="177">
        <f t="shared" si="30"/>
        <v>179406.3716</v>
      </c>
      <c r="M50" s="177">
        <f t="shared" si="30"/>
        <v>196231.6354</v>
      </c>
      <c r="N50" s="177">
        <f t="shared" si="30"/>
        <v>1939969.097</v>
      </c>
      <c r="O50" s="1"/>
    </row>
    <row r="51" ht="12.75" customHeight="1">
      <c r="A51" s="1"/>
      <c r="B51" s="178" t="s">
        <v>125</v>
      </c>
      <c r="C51" s="179"/>
      <c r="D51" s="179"/>
      <c r="E51" s="180">
        <f>IFERROR(E49/(-'Global Inputs'!$C$39),)</f>
        <v>0.05155926048</v>
      </c>
      <c r="F51" s="180">
        <f>IFERROR(F49/(-'Global Inputs'!$C$39),)</f>
        <v>0.06338770679</v>
      </c>
      <c r="G51" s="180">
        <f>IFERROR(G49/(-'Global Inputs'!$C$39),)</f>
        <v>0.07582924359</v>
      </c>
      <c r="H51" s="180">
        <f>IFERROR(H49/(-'Global Inputs'!$C$39),)</f>
        <v>-0.3349629612</v>
      </c>
      <c r="I51" s="180">
        <f>IFERROR(I49/(-'Global Inputs'!$C$39),)</f>
        <v>0.1337134626</v>
      </c>
      <c r="J51" s="180">
        <f>IFERROR(J49/(-'Global Inputs'!$C$39),)</f>
        <v>0.1481857583</v>
      </c>
      <c r="K51" s="180">
        <f>IFERROR(K49/(-'Global Inputs'!$C$39),)</f>
        <v>0.1634042168</v>
      </c>
      <c r="L51" s="180">
        <f>IFERROR(L49/(-'Global Inputs'!$C$39),)</f>
        <v>0.1794063716</v>
      </c>
      <c r="M51" s="180">
        <f>IFERROR(M49/(-'Global Inputs'!$C$39),)</f>
        <v>0.1962316354</v>
      </c>
      <c r="N51" s="180">
        <f>IFERROR(N49/(-'Global Inputs'!$C$39),)</f>
        <v>1.939969097</v>
      </c>
      <c r="O51" s="1"/>
    </row>
    <row r="52" ht="12.75" customHeight="1">
      <c r="A52" s="1"/>
      <c r="B52" s="174" t="s">
        <v>126</v>
      </c>
      <c r="C52" s="174"/>
      <c r="D52" s="174"/>
      <c r="E52" s="175">
        <f>Waterfall!F79</f>
        <v>28589.60993</v>
      </c>
      <c r="F52" s="175">
        <f>Waterfall!G79</f>
        <v>35148.48341</v>
      </c>
      <c r="G52" s="175">
        <f>Waterfall!H79</f>
        <v>42047.31557</v>
      </c>
      <c r="H52" s="175">
        <f>Waterfall!I79</f>
        <v>-185736.962</v>
      </c>
      <c r="I52" s="175">
        <f>Waterfall!J79</f>
        <v>74144.11501</v>
      </c>
      <c r="J52" s="175">
        <f>Waterfall!K79</f>
        <v>82169.00298</v>
      </c>
      <c r="K52" s="175">
        <f>Waterfall!L79</f>
        <v>90607.6382</v>
      </c>
      <c r="L52" s="175">
        <f>Waterfall!M79</f>
        <v>99480.83307</v>
      </c>
      <c r="M52" s="175">
        <f>Waterfall!N79</f>
        <v>108810.4419</v>
      </c>
      <c r="N52" s="175">
        <f>Waterfall!O79</f>
        <v>19290878.04</v>
      </c>
      <c r="O52" s="1"/>
    </row>
    <row r="53" ht="12.75" customHeight="1">
      <c r="A53" s="1"/>
      <c r="B53" s="1"/>
      <c r="C53" s="1"/>
      <c r="D53" s="1"/>
      <c r="E53" s="1"/>
      <c r="F53" s="1"/>
      <c r="G53" s="1"/>
      <c r="H53" s="1"/>
      <c r="I53" s="1"/>
      <c r="J53" s="1"/>
      <c r="K53" s="1"/>
      <c r="L53" s="1"/>
      <c r="M53" s="1"/>
      <c r="N53" s="1"/>
      <c r="O53" s="1"/>
    </row>
    <row r="54" ht="12.75" customHeight="1">
      <c r="A54" s="1"/>
      <c r="B54" s="1"/>
      <c r="C54" s="1"/>
      <c r="D54" s="1"/>
      <c r="E54" s="1"/>
      <c r="F54" s="1"/>
      <c r="G54" s="181"/>
      <c r="H54" s="161"/>
      <c r="I54" s="1"/>
      <c r="J54" s="1"/>
      <c r="K54" s="1"/>
      <c r="L54" s="1"/>
      <c r="M54" s="1"/>
      <c r="N54" s="1"/>
      <c r="O54" s="1"/>
    </row>
    <row r="55" ht="12.75" customHeight="1">
      <c r="A55" s="1"/>
      <c r="B55" s="1"/>
      <c r="C55" s="1"/>
      <c r="D55" s="1"/>
      <c r="E55" s="1"/>
      <c r="F55" s="1"/>
      <c r="G55" s="1"/>
      <c r="H55" s="161"/>
      <c r="I55" s="1"/>
      <c r="J55" s="1"/>
      <c r="K55" s="1"/>
      <c r="L55" s="1"/>
      <c r="M55" s="1"/>
      <c r="N55" s="1"/>
      <c r="O55" s="1"/>
    </row>
    <row r="56" ht="12.75" customHeight="1">
      <c r="A56" s="1"/>
      <c r="B56" s="1" t="s">
        <v>127</v>
      </c>
      <c r="C56" s="182"/>
      <c r="D56" s="182"/>
      <c r="E56" s="144">
        <v>0.08</v>
      </c>
      <c r="F56" s="144">
        <v>0.08</v>
      </c>
      <c r="G56" s="144">
        <v>0.08</v>
      </c>
      <c r="H56" s="144">
        <v>0.08</v>
      </c>
      <c r="I56" s="144">
        <v>0.08</v>
      </c>
      <c r="J56" s="144">
        <v>0.08</v>
      </c>
      <c r="K56" s="144">
        <v>0.08</v>
      </c>
      <c r="L56" s="144">
        <v>0.08</v>
      </c>
      <c r="M56" s="144">
        <v>0.08</v>
      </c>
      <c r="N56" s="144">
        <v>0.08</v>
      </c>
      <c r="O56" s="182"/>
    </row>
    <row r="57" ht="12.75" customHeight="1">
      <c r="A57" s="1"/>
      <c r="B57" s="183" t="s">
        <v>128</v>
      </c>
      <c r="C57" s="182"/>
      <c r="D57" s="182"/>
      <c r="E57" s="184">
        <f t="shared" ref="E57:N57" si="31">E$34/E56</f>
        <v>133934337</v>
      </c>
      <c r="F57" s="184">
        <f t="shared" si="31"/>
        <v>142132928.9</v>
      </c>
      <c r="G57" s="184">
        <f t="shared" si="31"/>
        <v>150756469</v>
      </c>
      <c r="H57" s="184">
        <f t="shared" si="31"/>
        <v>159826355.2</v>
      </c>
      <c r="I57" s="184">
        <f t="shared" si="31"/>
        <v>169365056.3</v>
      </c>
      <c r="J57" s="184">
        <f t="shared" si="31"/>
        <v>179396166.2</v>
      </c>
      <c r="K57" s="184">
        <f t="shared" si="31"/>
        <v>189944460.2</v>
      </c>
      <c r="L57" s="184">
        <f t="shared" si="31"/>
        <v>201035953.8</v>
      </c>
      <c r="M57" s="184">
        <f t="shared" si="31"/>
        <v>212697964.8</v>
      </c>
      <c r="N57" s="184">
        <f t="shared" si="31"/>
        <v>224959178.5</v>
      </c>
      <c r="O57" s="182"/>
    </row>
    <row r="58" ht="12.75" customHeight="1">
      <c r="A58" s="1"/>
      <c r="B58" s="1"/>
      <c r="C58" s="182"/>
      <c r="D58" s="182"/>
      <c r="E58" s="182"/>
      <c r="F58" s="182"/>
      <c r="G58" s="182"/>
      <c r="H58" s="185"/>
      <c r="I58" s="182"/>
      <c r="J58" s="182"/>
      <c r="K58" s="182"/>
      <c r="L58" s="182"/>
      <c r="M58" s="182"/>
      <c r="N58" s="182"/>
      <c r="O58" s="182"/>
    </row>
    <row r="59" ht="12.75" customHeight="1">
      <c r="A59" s="1"/>
      <c r="B59" s="183" t="s">
        <v>129</v>
      </c>
      <c r="C59" s="186" t="s">
        <v>130</v>
      </c>
      <c r="D59" s="187">
        <v>0.75</v>
      </c>
      <c r="E59" s="188">
        <f t="shared" ref="E59:N59" si="32">IF(E3=$D66,E57*$D59,0)</f>
        <v>0</v>
      </c>
      <c r="F59" s="188">
        <f t="shared" si="32"/>
        <v>0</v>
      </c>
      <c r="G59" s="188">
        <f t="shared" si="32"/>
        <v>0</v>
      </c>
      <c r="H59" s="188">
        <f t="shared" si="32"/>
        <v>119869766.4</v>
      </c>
      <c r="I59" s="188">
        <f t="shared" si="32"/>
        <v>0</v>
      </c>
      <c r="J59" s="188">
        <f t="shared" si="32"/>
        <v>0</v>
      </c>
      <c r="K59" s="188">
        <f t="shared" si="32"/>
        <v>0</v>
      </c>
      <c r="L59" s="188">
        <f t="shared" si="32"/>
        <v>0</v>
      </c>
      <c r="M59" s="188">
        <f t="shared" si="32"/>
        <v>0</v>
      </c>
      <c r="N59" s="188">
        <f t="shared" si="32"/>
        <v>0</v>
      </c>
      <c r="O59" s="182"/>
    </row>
    <row r="60" ht="12.75" customHeight="1">
      <c r="A60" s="1"/>
      <c r="B60" s="189" t="s">
        <v>131</v>
      </c>
      <c r="C60" s="186"/>
      <c r="D60" s="186"/>
      <c r="E60" s="188">
        <f>IF(E3=$D66,'helper data'!D3,0)</f>
        <v>0</v>
      </c>
      <c r="F60" s="188">
        <f>IF(F3=$D66,'helper data'!E3,0)</f>
        <v>0</v>
      </c>
      <c r="G60" s="188">
        <f>IF(G3=$D66,'helper data'!F3,0)</f>
        <v>0</v>
      </c>
      <c r="H60" s="188">
        <f>IF(H3=$D66,'helper data'!G3,0)</f>
        <v>141860045.7</v>
      </c>
      <c r="I60" s="188">
        <f>IF(I3=$D66,'helper data'!H3,0)</f>
        <v>0</v>
      </c>
      <c r="J60" s="188">
        <f>IF(J3=$D66,'helper data'!I3,0)</f>
        <v>0</v>
      </c>
      <c r="K60" s="188">
        <f>IF(K3=$D66,'helper data'!J3,0)</f>
        <v>0</v>
      </c>
      <c r="L60" s="188">
        <f>IF(L3=$D66,'helper data'!K3,0)</f>
        <v>0</v>
      </c>
      <c r="M60" s="188">
        <f>IF(M3=$D66,'helper data'!L3,0)</f>
        <v>0</v>
      </c>
      <c r="N60" s="188">
        <f>IF(N3=$D66,'helper data'!M3,0)</f>
        <v>0</v>
      </c>
      <c r="O60" s="182"/>
    </row>
    <row r="61" ht="12.75" customHeight="1">
      <c r="A61" s="1"/>
      <c r="B61" s="1" t="s">
        <v>132</v>
      </c>
      <c r="C61" s="190"/>
      <c r="D61" s="182"/>
      <c r="E61" s="191">
        <f>IF(E3=$D66,E59-SUM(Debt!$P:$P)+IF(E3=$D66,SUM(Debt!$Q:$Q),0),0)</f>
        <v>0</v>
      </c>
      <c r="F61" s="191">
        <f>IF(F3=$D66,F59-SUM(Debt!$P:$P)+IF(F3=$D66,SUM(Debt!$Q:$Q),0),0)</f>
        <v>0</v>
      </c>
      <c r="G61" s="191">
        <f>IF(G3=$D66,G59-SUM(Debt!$P:$P)+IF(G3=$D66,SUM(Debt!$Q:$Q),0),0)</f>
        <v>0</v>
      </c>
      <c r="H61" s="191">
        <f>IF(H3=$D66,H59-SUM(Debt!$P:$P)+IF(H3=$D66,SUM(Debt!$Q:$Q),0),0)</f>
        <v>-21372800.16</v>
      </c>
      <c r="I61" s="191">
        <f>IF(I3=$D66,I59-SUM(Debt!$P:$P)+IF(I3=$D66,SUM(Debt!$Q:$Q),0),0)</f>
        <v>0</v>
      </c>
      <c r="J61" s="191">
        <f>IF(J3=$D66,J59-SUM(Debt!$P:$P)+IF(J3=$D66,SUM(Debt!$Q:$Q),0),0)</f>
        <v>0</v>
      </c>
      <c r="K61" s="191">
        <f>IF(K3=$D66,K59-SUM(Debt!$P:$P)+IF(K3=$D66,SUM(Debt!$Q:$Q),0),0)</f>
        <v>0</v>
      </c>
      <c r="L61" s="191">
        <f>IF(L3=$D66,L59-SUM(Debt!$P:$P)+IF(L3=$D66,SUM(Debt!$Q:$Q),0),0)</f>
        <v>0</v>
      </c>
      <c r="M61" s="191">
        <f>IF(M3=$D66,M59-SUM(Debt!$P:$P)+IF(M3=$D66,SUM(Debt!$Q:$Q),0),0)</f>
        <v>0</v>
      </c>
      <c r="N61" s="191">
        <f>IF(N3=$D66,N59-SUM(Debt!$P:$P)+IF(N3=$D66,SUM(Debt!$Q:$Q),0),0)</f>
        <v>0</v>
      </c>
      <c r="O61" s="182"/>
    </row>
    <row r="62" ht="12.75" customHeight="1">
      <c r="A62" s="1"/>
      <c r="B62" s="192" t="s">
        <v>133</v>
      </c>
      <c r="C62" s="193"/>
      <c r="D62" s="193"/>
      <c r="E62" s="194">
        <v>0.03</v>
      </c>
      <c r="F62" s="194">
        <v>0.02</v>
      </c>
      <c r="G62" s="194">
        <v>0.01</v>
      </c>
      <c r="H62" s="194">
        <v>0.01</v>
      </c>
      <c r="I62" s="194">
        <v>0.01</v>
      </c>
      <c r="J62" s="194">
        <v>0.01</v>
      </c>
      <c r="K62" s="194">
        <v>0.01</v>
      </c>
      <c r="L62" s="194">
        <v>0.01</v>
      </c>
      <c r="M62" s="194">
        <v>0.01</v>
      </c>
      <c r="N62" s="194">
        <v>0.01</v>
      </c>
      <c r="O62" s="182"/>
    </row>
    <row r="63" ht="12.75" customHeight="1">
      <c r="A63" s="1"/>
      <c r="B63" s="192" t="s">
        <v>134</v>
      </c>
      <c r="C63" s="182"/>
      <c r="D63" s="193"/>
      <c r="E63" s="195">
        <f>IF($D66=E3,E62*Debt!$B3,0)</f>
        <v>0</v>
      </c>
      <c r="F63" s="195">
        <f>IF($D66=F3,F62*Debt!$B3,0)</f>
        <v>0</v>
      </c>
      <c r="G63" s="195">
        <f>IF($D66=G3,G62*Debt!$B3,0)</f>
        <v>0</v>
      </c>
      <c r="H63" s="195">
        <f>IF($D66=H3,H62*Debt!$B3,0)</f>
        <v>1550000</v>
      </c>
      <c r="I63" s="195">
        <f>IF($D66=I3,I62*Debt!$B3,0)</f>
        <v>0</v>
      </c>
      <c r="J63" s="195">
        <f>IF($D66=J3,J62*Debt!$B3,0)</f>
        <v>0</v>
      </c>
      <c r="K63" s="195">
        <f>IF($D66=K3,K62*Debt!$B3,0)</f>
        <v>0</v>
      </c>
      <c r="L63" s="195">
        <f>IF($D66=L3,L62*Debt!$B3,0)</f>
        <v>0</v>
      </c>
      <c r="M63" s="195">
        <f>IF($D66=M3,M62*Debt!$B3,0)</f>
        <v>0</v>
      </c>
      <c r="N63" s="195">
        <f>IF($D66=N3,N62*Debt!$B3,0)</f>
        <v>0</v>
      </c>
      <c r="O63" s="182"/>
    </row>
    <row r="64" ht="12.75" customHeight="1">
      <c r="A64" s="1"/>
      <c r="B64" s="192" t="s">
        <v>135</v>
      </c>
      <c r="C64" s="182"/>
      <c r="D64" s="194">
        <v>0.01</v>
      </c>
      <c r="E64" s="195">
        <f>IF(E3=$D66,$D64*'Debt ReFi'!$B3,0)</f>
        <v>0</v>
      </c>
      <c r="F64" s="195">
        <f>IF(F3=$D66,$D64*'Debt ReFi'!$B3,0)</f>
        <v>0</v>
      </c>
      <c r="G64" s="195">
        <f>IF(G3=$D66,$D64*'Debt ReFi'!$B3,0)</f>
        <v>0</v>
      </c>
      <c r="H64" s="195">
        <f>IF(H3=$D66,$D64*'Debt ReFi'!$B3,0)</f>
        <v>1198697.664</v>
      </c>
      <c r="I64" s="195">
        <f>IF(I3=$D66,$D64*'Debt ReFi'!$B3,0)</f>
        <v>0</v>
      </c>
      <c r="J64" s="195">
        <f>IF(J3=$D66,$D64*'Debt ReFi'!$B3,0)</f>
        <v>0</v>
      </c>
      <c r="K64" s="195">
        <f>IF(K3=$D66,$D64*'Debt ReFi'!$B3,0)</f>
        <v>0</v>
      </c>
      <c r="L64" s="195">
        <f>IF(L3=$D66,$D64*'Debt ReFi'!$B3,0)</f>
        <v>0</v>
      </c>
      <c r="M64" s="195">
        <f>IF(M3=$D66,$D64*'Debt ReFi'!$B3,0)</f>
        <v>0</v>
      </c>
      <c r="N64" s="195">
        <f>IF(N3=$D66,$D64*'Debt ReFi'!$B3,0)</f>
        <v>0</v>
      </c>
      <c r="O64" s="182"/>
    </row>
    <row r="65" ht="12.75" customHeight="1">
      <c r="A65" s="1"/>
      <c r="B65" s="192" t="s">
        <v>136</v>
      </c>
      <c r="C65" s="182"/>
      <c r="D65" s="182"/>
      <c r="E65" s="195">
        <f t="shared" ref="E65:N65" si="33">IF(E3=$D66,E61-E63-E64,0)</f>
        <v>0</v>
      </c>
      <c r="F65" s="195">
        <f t="shared" si="33"/>
        <v>0</v>
      </c>
      <c r="G65" s="195">
        <f t="shared" si="33"/>
        <v>0</v>
      </c>
      <c r="H65" s="195">
        <f t="shared" si="33"/>
        <v>-24121497.82</v>
      </c>
      <c r="I65" s="195">
        <f t="shared" si="33"/>
        <v>0</v>
      </c>
      <c r="J65" s="195">
        <f t="shared" si="33"/>
        <v>0</v>
      </c>
      <c r="K65" s="195">
        <f t="shared" si="33"/>
        <v>0</v>
      </c>
      <c r="L65" s="195">
        <f t="shared" si="33"/>
        <v>0</v>
      </c>
      <c r="M65" s="195">
        <f t="shared" si="33"/>
        <v>0</v>
      </c>
      <c r="N65" s="195">
        <f t="shared" si="33"/>
        <v>0</v>
      </c>
      <c r="O65" s="182"/>
    </row>
    <row r="66" ht="12.75" customHeight="1">
      <c r="A66" s="1"/>
      <c r="B66" s="1" t="s">
        <v>137</v>
      </c>
      <c r="C66" s="196" t="s">
        <v>138</v>
      </c>
      <c r="D66" s="197">
        <v>4.0</v>
      </c>
      <c r="E66" s="182"/>
      <c r="F66" s="182"/>
      <c r="G66" s="182"/>
      <c r="H66" s="182"/>
      <c r="I66" s="182"/>
      <c r="J66" s="182"/>
      <c r="K66" s="182"/>
      <c r="L66" s="182"/>
      <c r="M66" s="182"/>
      <c r="N66" s="182"/>
      <c r="O66" s="182"/>
    </row>
    <row r="67" ht="12.75" customHeight="1">
      <c r="A67" s="1"/>
      <c r="B67" s="1" t="s">
        <v>139</v>
      </c>
      <c r="C67" s="196" t="s">
        <v>140</v>
      </c>
      <c r="D67" s="187">
        <v>0.0275</v>
      </c>
      <c r="E67" s="182"/>
      <c r="F67" s="182"/>
      <c r="G67" s="182"/>
      <c r="H67" s="182"/>
      <c r="I67" s="182"/>
      <c r="J67" s="182"/>
      <c r="K67" s="182"/>
      <c r="L67" s="182"/>
      <c r="M67" s="182"/>
      <c r="N67" s="182"/>
      <c r="O67" s="182"/>
    </row>
    <row r="68" ht="12.75" customHeight="1">
      <c r="A68" s="1"/>
      <c r="B68" s="1"/>
      <c r="C68" s="182"/>
      <c r="D68" s="182"/>
      <c r="E68" s="182"/>
      <c r="F68" s="182"/>
      <c r="G68" s="182"/>
      <c r="H68" s="182"/>
      <c r="I68" s="182"/>
      <c r="J68" s="182"/>
      <c r="K68" s="182"/>
      <c r="L68" s="182"/>
      <c r="M68" s="182"/>
      <c r="N68" s="182"/>
      <c r="O68" s="182"/>
    </row>
    <row r="69" ht="12.75" customHeight="1">
      <c r="A69" s="1"/>
      <c r="B69" s="1"/>
      <c r="C69" s="182"/>
      <c r="D69" s="182"/>
      <c r="E69" s="182"/>
      <c r="F69" s="182"/>
      <c r="G69" s="182"/>
      <c r="H69" s="182"/>
      <c r="I69" s="182"/>
      <c r="J69" s="182"/>
      <c r="K69" s="182"/>
      <c r="L69" s="182"/>
      <c r="M69" s="182"/>
      <c r="N69" s="182"/>
      <c r="O69" s="182"/>
    </row>
    <row r="70" ht="12.75" customHeight="1">
      <c r="A70" s="1"/>
      <c r="B70" s="1"/>
      <c r="C70" s="182"/>
      <c r="D70" s="182"/>
      <c r="E70" s="182"/>
      <c r="F70" s="182"/>
      <c r="G70" s="182"/>
      <c r="H70" s="182"/>
      <c r="I70" s="182"/>
      <c r="J70" s="182"/>
      <c r="K70" s="182"/>
      <c r="L70" s="182"/>
      <c r="M70" s="182"/>
      <c r="N70" s="182"/>
      <c r="O70" s="182"/>
    </row>
    <row r="71" ht="12.75" customHeight="1">
      <c r="A71" s="1"/>
      <c r="B71" s="1"/>
      <c r="C71" s="182"/>
      <c r="D71" s="182"/>
      <c r="E71" s="182"/>
      <c r="F71" s="182"/>
      <c r="G71" s="182"/>
      <c r="H71" s="198"/>
      <c r="I71" s="182"/>
      <c r="J71" s="182"/>
      <c r="K71" s="182"/>
      <c r="L71" s="182"/>
      <c r="M71" s="182"/>
      <c r="N71" s="182"/>
      <c r="O71" s="182"/>
    </row>
    <row r="72" ht="12.75" customHeight="1">
      <c r="A72" s="1"/>
      <c r="B72" s="199" t="s">
        <v>141</v>
      </c>
      <c r="C72" s="182"/>
      <c r="D72" s="182"/>
      <c r="E72" s="182"/>
      <c r="F72" s="182"/>
      <c r="G72" s="185"/>
      <c r="H72" s="185"/>
      <c r="I72" s="182"/>
      <c r="J72" s="182"/>
      <c r="K72" s="182"/>
      <c r="L72" s="182"/>
      <c r="M72" s="182"/>
      <c r="N72" s="182"/>
      <c r="O72" s="182"/>
    </row>
    <row r="73" ht="12.75" customHeight="1" outlineLevel="1">
      <c r="A73" s="1"/>
      <c r="B73" s="192" t="s">
        <v>142</v>
      </c>
      <c r="C73" s="182"/>
      <c r="D73" s="182"/>
      <c r="E73" s="144">
        <v>0.08</v>
      </c>
      <c r="F73" s="144">
        <v>0.08</v>
      </c>
      <c r="G73" s="144">
        <v>0.08</v>
      </c>
      <c r="H73" s="144">
        <v>0.08</v>
      </c>
      <c r="I73" s="144">
        <v>0.08</v>
      </c>
      <c r="J73" s="144">
        <v>0.08</v>
      </c>
      <c r="K73" s="144">
        <v>0.08</v>
      </c>
      <c r="L73" s="144">
        <v>0.08</v>
      </c>
      <c r="M73" s="144">
        <v>0.08</v>
      </c>
      <c r="N73" s="144">
        <v>0.08</v>
      </c>
      <c r="O73" s="182"/>
    </row>
    <row r="74" ht="12.75" customHeight="1">
      <c r="A74" s="1"/>
      <c r="B74" s="199" t="s">
        <v>143</v>
      </c>
      <c r="C74" s="190"/>
      <c r="D74" s="190"/>
      <c r="E74" s="184">
        <f t="shared" ref="E74:N74" si="34">IF($C87="NA",0,E$34/E73)</f>
        <v>133934337</v>
      </c>
      <c r="F74" s="184">
        <f t="shared" si="34"/>
        <v>142132928.9</v>
      </c>
      <c r="G74" s="184">
        <f t="shared" si="34"/>
        <v>150756469</v>
      </c>
      <c r="H74" s="184">
        <f t="shared" si="34"/>
        <v>159826355.2</v>
      </c>
      <c r="I74" s="184">
        <f t="shared" si="34"/>
        <v>169365056.3</v>
      </c>
      <c r="J74" s="184">
        <f t="shared" si="34"/>
        <v>179396166.2</v>
      </c>
      <c r="K74" s="184">
        <f t="shared" si="34"/>
        <v>189944460.2</v>
      </c>
      <c r="L74" s="184">
        <f t="shared" si="34"/>
        <v>201035953.8</v>
      </c>
      <c r="M74" s="184">
        <f t="shared" si="34"/>
        <v>212697964.8</v>
      </c>
      <c r="N74" s="184">
        <f t="shared" si="34"/>
        <v>224959178.5</v>
      </c>
      <c r="O74" s="182"/>
    </row>
    <row r="75" ht="12.75" customHeight="1">
      <c r="A75" s="1"/>
      <c r="B75" s="192" t="s">
        <v>144</v>
      </c>
      <c r="C75" s="193"/>
      <c r="D75" s="193"/>
      <c r="E75" s="195">
        <f>IF($C87="NA",0,IF(E3&lt;=$D66,'helper data'!D3,'helper data'!D4))</f>
        <v>151626909.9</v>
      </c>
      <c r="F75" s="195">
        <f>IF($C87="NA",0,IF(F3&lt;=$D66,'helper data'!E3,'helper data'!E4))</f>
        <v>148159881.7</v>
      </c>
      <c r="G75" s="195">
        <f>IF($C87="NA",0,IF(G3&lt;=$D66,'helper data'!F3,'helper data'!F4))</f>
        <v>144596299.2</v>
      </c>
      <c r="H75" s="195">
        <f>IF($C87="NA",0,IF(H3&lt;=$D66,'helper data'!G3,'helper data'!G4))</f>
        <v>141860045.7</v>
      </c>
      <c r="I75" s="195">
        <f>IF($C87="NA",0,IF(I3&lt;=$D66,'helper data'!H3,'helper data'!H4))</f>
        <v>117261175.9</v>
      </c>
      <c r="J75" s="195">
        <f>IF($C87="NA",0,IF(J3&lt;=$D66,'helper data'!I3,'helper data'!I4))</f>
        <v>114579938.1</v>
      </c>
      <c r="K75" s="195">
        <f>IF($C87="NA",0,IF(K3&lt;=$D66,'helper data'!J3,'helper data'!J4))</f>
        <v>111824029.7</v>
      </c>
      <c r="L75" s="195">
        <f>IF($C87="NA",0,IF(L3&lt;=$D66,'helper data'!K3,'helper data'!K4))</f>
        <v>108991371.3</v>
      </c>
      <c r="M75" s="195">
        <f>IF($C87="NA",0,IF(M3&lt;=$D66,'helper data'!L3,'helper data'!L4))</f>
        <v>106079825.4</v>
      </c>
      <c r="N75" s="195">
        <f>IF($C87="NA",0,IF(N3&lt;=$D66,'helper data'!M3,'helper data'!M4))</f>
        <v>103087195.1</v>
      </c>
      <c r="O75" s="182"/>
    </row>
    <row r="76" ht="12.75" customHeight="1" outlineLevel="1">
      <c r="A76" s="1"/>
      <c r="B76" s="192" t="s">
        <v>133</v>
      </c>
      <c r="C76" s="193"/>
      <c r="D76" s="193"/>
      <c r="E76" s="194">
        <v>0.03</v>
      </c>
      <c r="F76" s="194">
        <v>0.02</v>
      </c>
      <c r="G76" s="194">
        <v>0.01</v>
      </c>
      <c r="H76" s="194">
        <v>0.01</v>
      </c>
      <c r="I76" s="194">
        <v>0.01</v>
      </c>
      <c r="J76" s="194">
        <v>0.01</v>
      </c>
      <c r="K76" s="194">
        <v>0.01</v>
      </c>
      <c r="L76" s="194">
        <v>0.01</v>
      </c>
      <c r="M76" s="194">
        <v>0.01</v>
      </c>
      <c r="N76" s="194">
        <v>0.01</v>
      </c>
      <c r="O76" s="182"/>
    </row>
    <row r="77" ht="12.75" customHeight="1">
      <c r="A77" s="1"/>
      <c r="B77" s="192" t="s">
        <v>134</v>
      </c>
      <c r="C77" s="182"/>
      <c r="D77" s="193"/>
      <c r="E77" s="195">
        <f>IF($C87="NA",0,IF(E3&lt;=$D66,E76*'Global Inputs'!$C18,E76*'Debt ReFi'!$B3))</f>
        <v>4650000</v>
      </c>
      <c r="F77" s="195">
        <f>IF($C87="NA",0,IF(F3&lt;=$D66,F76*'Global Inputs'!$C18,F76*'Debt ReFi'!$B3))</f>
        <v>3100000</v>
      </c>
      <c r="G77" s="195">
        <f>IF($C87="NA",0,IF(G3&lt;=$D66,G76*'Global Inputs'!$C18,G76*'Debt ReFi'!$B3))</f>
        <v>1550000</v>
      </c>
      <c r="H77" s="195">
        <f>IF($C87="NA",0,IF(H3&lt;=$D66,H76*'Global Inputs'!$C18,H76*'Debt ReFi'!$B3))</f>
        <v>1550000</v>
      </c>
      <c r="I77" s="195">
        <f>IF($C87="NA",0,IF(I3&lt;=$D66,I76*'Global Inputs'!$C18,I76*'Debt ReFi'!$B3))</f>
        <v>1198697.664</v>
      </c>
      <c r="J77" s="195">
        <f>IF($C87="NA",0,IF(J3&lt;=$D66,J76*'Global Inputs'!$C18,J76*'Debt ReFi'!$B3))</f>
        <v>1198697.664</v>
      </c>
      <c r="K77" s="195">
        <f>IF($C87="NA",0,IF(K3&lt;=$D66,K76*'Global Inputs'!$C18,K76*'Debt ReFi'!$B3))</f>
        <v>1198697.664</v>
      </c>
      <c r="L77" s="195">
        <f>IF($C87="NA",0,IF(L3&lt;=$D66,L76*'Global Inputs'!$C18,L76*'Debt ReFi'!$B3))</f>
        <v>1198697.664</v>
      </c>
      <c r="M77" s="195">
        <f>IF($C87="NA",0,IF(M3&lt;=$D66,M76*'Global Inputs'!$C18,M76*'Debt ReFi'!$B3))</f>
        <v>1198697.664</v>
      </c>
      <c r="N77" s="195">
        <f>IF($C87="NA",0,IF(N3&lt;=$D66,N76*'Global Inputs'!$C18,N76*'Debt ReFi'!$B3))</f>
        <v>1198697.664</v>
      </c>
      <c r="O77" s="182"/>
    </row>
    <row r="78" ht="12.75" customHeight="1">
      <c r="A78" s="1"/>
      <c r="B78" s="192" t="s">
        <v>145</v>
      </c>
      <c r="C78" s="182"/>
      <c r="D78" s="194">
        <v>0.03</v>
      </c>
      <c r="E78" s="195">
        <f t="shared" ref="E78:N78" si="35">$D78*E74</f>
        <v>4018030.11</v>
      </c>
      <c r="F78" s="195">
        <f t="shared" si="35"/>
        <v>4263987.866</v>
      </c>
      <c r="G78" s="195">
        <f t="shared" si="35"/>
        <v>4522694.071</v>
      </c>
      <c r="H78" s="195">
        <f t="shared" si="35"/>
        <v>4794790.655</v>
      </c>
      <c r="I78" s="195">
        <f t="shared" si="35"/>
        <v>5080951.688</v>
      </c>
      <c r="J78" s="195">
        <f t="shared" si="35"/>
        <v>5381884.986</v>
      </c>
      <c r="K78" s="195">
        <f t="shared" si="35"/>
        <v>5698333.807</v>
      </c>
      <c r="L78" s="195">
        <f t="shared" si="35"/>
        <v>6031078.615</v>
      </c>
      <c r="M78" s="195">
        <f t="shared" si="35"/>
        <v>6380938.944</v>
      </c>
      <c r="N78" s="195">
        <f t="shared" si="35"/>
        <v>6748775.354</v>
      </c>
      <c r="O78" s="182"/>
    </row>
    <row r="79" ht="12.75" customHeight="1">
      <c r="A79" s="1"/>
      <c r="B79" s="199" t="s">
        <v>146</v>
      </c>
      <c r="C79" s="190"/>
      <c r="D79" s="190"/>
      <c r="E79" s="184">
        <f t="shared" ref="E79:N79" si="36">E74-E75-E77-E78</f>
        <v>-26360603.01</v>
      </c>
      <c r="F79" s="184">
        <f t="shared" si="36"/>
        <v>-13390940.69</v>
      </c>
      <c r="G79" s="184">
        <f t="shared" si="36"/>
        <v>87475.73738</v>
      </c>
      <c r="H79" s="184">
        <f t="shared" si="36"/>
        <v>11621518.8</v>
      </c>
      <c r="I79" s="184">
        <f t="shared" si="36"/>
        <v>45824230.99</v>
      </c>
      <c r="J79" s="184">
        <f t="shared" si="36"/>
        <v>58235645.47</v>
      </c>
      <c r="K79" s="184">
        <f t="shared" si="36"/>
        <v>71223399.04</v>
      </c>
      <c r="L79" s="184">
        <f t="shared" si="36"/>
        <v>84814806.23</v>
      </c>
      <c r="M79" s="184">
        <f t="shared" si="36"/>
        <v>99038502.76</v>
      </c>
      <c r="N79" s="184">
        <f t="shared" si="36"/>
        <v>113924510.3</v>
      </c>
      <c r="O79" s="182"/>
    </row>
    <row r="80" ht="12.75" customHeight="1">
      <c r="A80" s="1"/>
      <c r="B80" s="1"/>
      <c r="C80" s="182"/>
      <c r="D80" s="182"/>
      <c r="E80" s="200"/>
      <c r="F80" s="200"/>
      <c r="G80" s="200"/>
      <c r="H80" s="200"/>
      <c r="I80" s="200"/>
      <c r="J80" s="201"/>
      <c r="K80" s="200"/>
      <c r="L80" s="200"/>
      <c r="M80" s="200"/>
      <c r="N80" s="200"/>
      <c r="O80" s="182"/>
    </row>
    <row r="81" ht="12.75" customHeight="1">
      <c r="A81" s="1"/>
      <c r="B81" s="183" t="s">
        <v>147</v>
      </c>
      <c r="C81" s="182"/>
      <c r="D81" s="182"/>
      <c r="E81" s="200"/>
      <c r="F81" s="200"/>
      <c r="G81" s="200"/>
      <c r="H81" s="200"/>
      <c r="I81" s="200"/>
      <c r="J81" s="200"/>
      <c r="K81" s="200"/>
      <c r="L81" s="200"/>
      <c r="M81" s="200"/>
      <c r="N81" s="200"/>
      <c r="O81" s="182"/>
    </row>
    <row r="82" ht="12.75" hidden="1" customHeight="1" outlineLevel="1">
      <c r="A82" s="1"/>
      <c r="B82" s="1"/>
      <c r="C82" s="182"/>
      <c r="D82" s="182"/>
      <c r="E82" s="182"/>
      <c r="F82" s="182"/>
      <c r="G82" s="182"/>
      <c r="H82" s="182"/>
      <c r="I82" s="182"/>
      <c r="J82" s="182"/>
      <c r="K82" s="182"/>
      <c r="L82" s="182"/>
      <c r="M82" s="182"/>
      <c r="N82" s="182"/>
      <c r="O82" s="182"/>
    </row>
    <row r="83" ht="12.75" hidden="1" customHeight="1" outlineLevel="1">
      <c r="A83" s="1"/>
      <c r="B83" s="1"/>
      <c r="C83" s="182"/>
      <c r="D83" s="182"/>
      <c r="E83" s="182"/>
      <c r="F83" s="182"/>
      <c r="G83" s="182"/>
      <c r="H83" s="182"/>
      <c r="I83" s="182"/>
      <c r="J83" s="182"/>
      <c r="K83" s="182"/>
      <c r="L83" s="182"/>
      <c r="M83" s="182"/>
      <c r="N83" s="182"/>
      <c r="O83" s="182"/>
    </row>
    <row r="84" ht="12.75" customHeight="1" collapsed="1">
      <c r="A84" s="1"/>
      <c r="B84" s="1" t="s">
        <v>123</v>
      </c>
      <c r="C84" s="182"/>
      <c r="D84" s="182"/>
      <c r="E84" s="188">
        <f t="shared" ref="E84:N84" si="37">E49</f>
        <v>2830371.383</v>
      </c>
      <c r="F84" s="188">
        <f t="shared" si="37"/>
        <v>3479699.858</v>
      </c>
      <c r="G84" s="188">
        <f t="shared" si="37"/>
        <v>4162684.241</v>
      </c>
      <c r="H84" s="188">
        <f t="shared" si="37"/>
        <v>-18387959.23</v>
      </c>
      <c r="I84" s="188">
        <f t="shared" si="37"/>
        <v>7340267.386</v>
      </c>
      <c r="J84" s="188">
        <f t="shared" si="37"/>
        <v>8134731.295</v>
      </c>
      <c r="K84" s="188">
        <f t="shared" si="37"/>
        <v>8970156.182</v>
      </c>
      <c r="L84" s="188">
        <f t="shared" si="37"/>
        <v>9848602.474</v>
      </c>
      <c r="M84" s="188">
        <f t="shared" si="37"/>
        <v>10772233.74</v>
      </c>
      <c r="N84" s="188">
        <f t="shared" si="37"/>
        <v>106495573.6</v>
      </c>
      <c r="O84" s="182"/>
    </row>
    <row r="85" ht="12.75" customHeight="1">
      <c r="A85" s="1"/>
      <c r="B85" s="1" t="s">
        <v>148</v>
      </c>
      <c r="C85" s="182"/>
      <c r="D85" s="182"/>
      <c r="E85" s="202">
        <f t="shared" ref="E85:N85" si="38">E50</f>
        <v>51559.26048</v>
      </c>
      <c r="F85" s="202">
        <f t="shared" si="38"/>
        <v>63387.70679</v>
      </c>
      <c r="G85" s="202">
        <f t="shared" si="38"/>
        <v>75829.24359</v>
      </c>
      <c r="H85" s="202">
        <f t="shared" si="38"/>
        <v>-334962.9612</v>
      </c>
      <c r="I85" s="202">
        <f t="shared" si="38"/>
        <v>133713.4626</v>
      </c>
      <c r="J85" s="202">
        <f t="shared" si="38"/>
        <v>148185.7583</v>
      </c>
      <c r="K85" s="202">
        <f t="shared" si="38"/>
        <v>163404.2168</v>
      </c>
      <c r="L85" s="202">
        <f t="shared" si="38"/>
        <v>179406.3716</v>
      </c>
      <c r="M85" s="202">
        <f t="shared" si="38"/>
        <v>196231.6354</v>
      </c>
      <c r="N85" s="202">
        <f t="shared" si="38"/>
        <v>1939969.097</v>
      </c>
      <c r="O85" s="182"/>
    </row>
    <row r="86" ht="12.75" customHeight="1">
      <c r="A86" s="1"/>
      <c r="B86" s="1" t="s">
        <v>126</v>
      </c>
      <c r="C86" s="182"/>
      <c r="D86" s="182"/>
      <c r="E86" s="188">
        <f t="shared" ref="E86:N86" si="39">E52</f>
        <v>28589.60993</v>
      </c>
      <c r="F86" s="188">
        <f t="shared" si="39"/>
        <v>35148.48341</v>
      </c>
      <c r="G86" s="188">
        <f t="shared" si="39"/>
        <v>42047.31557</v>
      </c>
      <c r="H86" s="188">
        <f t="shared" si="39"/>
        <v>-185736.962</v>
      </c>
      <c r="I86" s="188">
        <f t="shared" si="39"/>
        <v>74144.11501</v>
      </c>
      <c r="J86" s="188">
        <f t="shared" si="39"/>
        <v>82169.00298</v>
      </c>
      <c r="K86" s="188">
        <f t="shared" si="39"/>
        <v>90607.6382</v>
      </c>
      <c r="L86" s="188">
        <f t="shared" si="39"/>
        <v>99480.83307</v>
      </c>
      <c r="M86" s="188">
        <f t="shared" si="39"/>
        <v>108810.4419</v>
      </c>
      <c r="N86" s="188">
        <f t="shared" si="39"/>
        <v>19290878.04</v>
      </c>
      <c r="O86" s="182"/>
    </row>
    <row r="87" ht="12.75" customHeight="1">
      <c r="A87" s="1"/>
      <c r="B87" s="1" t="s">
        <v>149</v>
      </c>
      <c r="C87" s="197">
        <v>10.0</v>
      </c>
      <c r="D87" s="182"/>
      <c r="E87" s="182"/>
      <c r="F87" s="182"/>
      <c r="G87" s="182"/>
      <c r="H87" s="182"/>
      <c r="I87" s="182"/>
      <c r="J87" s="182"/>
      <c r="K87" s="182"/>
      <c r="L87" s="182"/>
      <c r="M87" s="182"/>
      <c r="N87" s="182"/>
      <c r="O87" s="182"/>
    </row>
    <row r="88" ht="12.75" customHeight="1">
      <c r="A88" s="1"/>
      <c r="B88" s="1"/>
      <c r="C88" s="1"/>
      <c r="D88" s="1"/>
      <c r="E88" s="1"/>
      <c r="F88" s="1"/>
      <c r="G88" s="1"/>
      <c r="H88" s="1"/>
      <c r="I88" s="1"/>
      <c r="J88" s="1"/>
      <c r="K88" s="1"/>
      <c r="L88" s="1"/>
      <c r="M88" s="1"/>
      <c r="N88" s="1"/>
      <c r="O88" s="1"/>
    </row>
    <row r="89" ht="12.75" customHeight="1">
      <c r="A89" s="1"/>
      <c r="B89" s="1"/>
      <c r="C89" s="1"/>
      <c r="D89" s="1"/>
      <c r="E89" s="105"/>
      <c r="F89" s="105"/>
      <c r="G89" s="105"/>
      <c r="H89" s="105"/>
      <c r="I89" s="105"/>
      <c r="J89" s="105"/>
      <c r="K89" s="105"/>
      <c r="L89" s="105"/>
      <c r="M89" s="105"/>
      <c r="N89" s="105"/>
      <c r="O89" s="1"/>
    </row>
    <row r="90" ht="12.75" customHeight="1">
      <c r="A90" s="1"/>
      <c r="B90" s="179" t="s">
        <v>150</v>
      </c>
      <c r="C90" s="179"/>
      <c r="D90" s="179"/>
      <c r="E90" s="203">
        <f t="shared" ref="E90:N90" si="40">IF(E3&gt;$C87,"",E34/E37)</f>
        <v>1.411081712</v>
      </c>
      <c r="F90" s="203">
        <f t="shared" si="40"/>
        <v>1.497458987</v>
      </c>
      <c r="G90" s="203">
        <f t="shared" si="40"/>
        <v>1.588313357</v>
      </c>
      <c r="H90" s="203">
        <f t="shared" si="40"/>
        <v>1.832921812</v>
      </c>
      <c r="I90" s="203">
        <f t="shared" si="40"/>
        <v>2.307310705</v>
      </c>
      <c r="J90" s="203">
        <f t="shared" si="40"/>
        <v>2.44396751</v>
      </c>
      <c r="K90" s="203">
        <f t="shared" si="40"/>
        <v>2.587670067</v>
      </c>
      <c r="L90" s="203">
        <f t="shared" si="40"/>
        <v>2.738772794</v>
      </c>
      <c r="M90" s="203">
        <f t="shared" si="40"/>
        <v>2.89764785</v>
      </c>
      <c r="N90" s="203">
        <f t="shared" si="40"/>
        <v>3.064686023</v>
      </c>
      <c r="O90" s="1"/>
    </row>
    <row r="91" ht="12.75" customHeight="1">
      <c r="A91" s="1"/>
      <c r="B91" s="1"/>
      <c r="C91" s="1"/>
      <c r="D91" s="1"/>
      <c r="E91" s="105"/>
      <c r="F91" s="105"/>
      <c r="G91" s="105"/>
      <c r="H91" s="105"/>
      <c r="I91" s="105"/>
      <c r="J91" s="105"/>
      <c r="K91" s="105"/>
      <c r="L91" s="105"/>
      <c r="M91" s="105"/>
      <c r="N91" s="105"/>
      <c r="O91" s="1"/>
    </row>
    <row r="92" ht="27.0" customHeight="1">
      <c r="A92" s="1"/>
      <c r="B92" s="204" t="s">
        <v>151</v>
      </c>
      <c r="C92" s="205" t="s">
        <v>152</v>
      </c>
      <c r="D92" s="206"/>
      <c r="E92" s="207"/>
      <c r="F92" s="207"/>
      <c r="G92" s="207"/>
      <c r="H92" s="207"/>
      <c r="I92" s="207"/>
      <c r="J92" s="207"/>
      <c r="K92" s="207"/>
      <c r="L92" s="207"/>
      <c r="M92" s="207"/>
      <c r="N92" s="207"/>
      <c r="O92" s="1"/>
    </row>
    <row r="93" ht="27.0" customHeight="1">
      <c r="A93" s="1"/>
      <c r="B93" s="1" t="s">
        <v>153</v>
      </c>
      <c r="C93" s="208">
        <f>IF(C87="na",N100/10,MAX(E100:N100)/C87)</f>
        <v>0.1616723792</v>
      </c>
      <c r="D93" s="209">
        <f>'Global Inputs'!C39</f>
        <v>-54895500</v>
      </c>
      <c r="E93" s="210">
        <f t="shared" ref="E93:N93" si="41">E84</f>
        <v>2830371.383</v>
      </c>
      <c r="F93" s="210">
        <f t="shared" si="41"/>
        <v>3479699.858</v>
      </c>
      <c r="G93" s="210">
        <f t="shared" si="41"/>
        <v>4162684.241</v>
      </c>
      <c r="H93" s="210">
        <f t="shared" si="41"/>
        <v>-18387959.23</v>
      </c>
      <c r="I93" s="210">
        <f t="shared" si="41"/>
        <v>7340267.386</v>
      </c>
      <c r="J93" s="210">
        <f t="shared" si="41"/>
        <v>8134731.295</v>
      </c>
      <c r="K93" s="210">
        <f t="shared" si="41"/>
        <v>8970156.182</v>
      </c>
      <c r="L93" s="210">
        <f t="shared" si="41"/>
        <v>9848602.474</v>
      </c>
      <c r="M93" s="210">
        <f t="shared" si="41"/>
        <v>10772233.74</v>
      </c>
      <c r="N93" s="210">
        <f t="shared" si="41"/>
        <v>106495573.6</v>
      </c>
      <c r="O93" s="1"/>
    </row>
    <row r="94" ht="12.75" customHeight="1">
      <c r="A94" s="1"/>
      <c r="B94" s="1" t="s">
        <v>154</v>
      </c>
      <c r="C94" s="208"/>
      <c r="D94" s="209">
        <f>-C44</f>
        <v>-1000000</v>
      </c>
      <c r="E94" s="210">
        <f>($C$44/-'Global Inputs'!$C$39)*E93</f>
        <v>51559.26048</v>
      </c>
      <c r="F94" s="210">
        <f>($C$44/-'Global Inputs'!$C$39)*F93</f>
        <v>63387.70679</v>
      </c>
      <c r="G94" s="210">
        <f>($C$44/-'Global Inputs'!$C$39)*G93</f>
        <v>75829.24359</v>
      </c>
      <c r="H94" s="210">
        <f>($C$44/-'Global Inputs'!$C$39)*H93</f>
        <v>-334962.9612</v>
      </c>
      <c r="I94" s="210">
        <f>($C$44/-'Global Inputs'!$C$39)*I93</f>
        <v>133713.4626</v>
      </c>
      <c r="J94" s="210">
        <f>($C$44/-'Global Inputs'!$C$39)*J93</f>
        <v>148185.7583</v>
      </c>
      <c r="K94" s="210">
        <f>($C$44/-'Global Inputs'!$C$39)*K93</f>
        <v>163404.2168</v>
      </c>
      <c r="L94" s="210">
        <f>($C$44/-'Global Inputs'!$C$39)*L93</f>
        <v>179406.3716</v>
      </c>
      <c r="M94" s="210">
        <f>($C$44/-'Global Inputs'!$C$39)*M93</f>
        <v>196231.6354</v>
      </c>
      <c r="N94" s="210">
        <f>($C$44/-'Global Inputs'!$C$39)*N93</f>
        <v>1939969.097</v>
      </c>
      <c r="O94" s="1"/>
    </row>
    <row r="95" ht="12.75" customHeight="1">
      <c r="A95" s="1"/>
      <c r="B95" s="179" t="s">
        <v>125</v>
      </c>
      <c r="C95" s="179"/>
      <c r="D95" s="179"/>
      <c r="E95" s="180">
        <f>IFERROR(E93/(-'Global Inputs'!$C$39),0)</f>
        <v>0.05155926048</v>
      </c>
      <c r="F95" s="180">
        <f>IFERROR(F93/(-'Global Inputs'!$C$39),0)</f>
        <v>0.06338770679</v>
      </c>
      <c r="G95" s="180">
        <f>IFERROR(G93/(-'Global Inputs'!$C$39),0)</f>
        <v>0.07582924359</v>
      </c>
      <c r="H95" s="180">
        <f>IFERROR(H93/(-'Global Inputs'!$C$39),0)</f>
        <v>-0.3349629612</v>
      </c>
      <c r="I95" s="180">
        <f>IFERROR(I93/(-'Global Inputs'!$C$39),0)</f>
        <v>0.1337134626</v>
      </c>
      <c r="J95" s="180">
        <f>IFERROR(J93/(-'Global Inputs'!$C$39),0)</f>
        <v>0.1481857583</v>
      </c>
      <c r="K95" s="180">
        <f>IFERROR(K93/(-'Global Inputs'!$C$39),0)</f>
        <v>0.1634042168</v>
      </c>
      <c r="L95" s="180">
        <f>IFERROR(L93/(-'Global Inputs'!$C$39),0)</f>
        <v>0.1794063716</v>
      </c>
      <c r="M95" s="180">
        <f>IFERROR(M93/(-'Global Inputs'!$C$39),0)</f>
        <v>0.1962316354</v>
      </c>
      <c r="N95" s="180">
        <f>IFERROR(N93/(-'Global Inputs'!$C$39),0)</f>
        <v>1.939969097</v>
      </c>
      <c r="O95" s="1"/>
    </row>
    <row r="96" ht="12.75" customHeight="1">
      <c r="A96" s="1"/>
      <c r="B96" s="1" t="s">
        <v>55</v>
      </c>
      <c r="C96" s="208">
        <f>IF(C87="na",N102/10,MAX(E102:N102)/C87)</f>
        <v>3.446643556</v>
      </c>
      <c r="D96" s="209">
        <f>'Global Inputs'!C40</f>
        <v>-554500</v>
      </c>
      <c r="E96" s="210">
        <f t="shared" ref="E96:N96" si="42">E86</f>
        <v>28589.60993</v>
      </c>
      <c r="F96" s="210">
        <f t="shared" si="42"/>
        <v>35148.48341</v>
      </c>
      <c r="G96" s="210">
        <f t="shared" si="42"/>
        <v>42047.31557</v>
      </c>
      <c r="H96" s="210">
        <f t="shared" si="42"/>
        <v>-185736.962</v>
      </c>
      <c r="I96" s="210">
        <f t="shared" si="42"/>
        <v>74144.11501</v>
      </c>
      <c r="J96" s="210">
        <f t="shared" si="42"/>
        <v>82169.00298</v>
      </c>
      <c r="K96" s="210">
        <f t="shared" si="42"/>
        <v>90607.6382</v>
      </c>
      <c r="L96" s="210">
        <f t="shared" si="42"/>
        <v>99480.83307</v>
      </c>
      <c r="M96" s="210">
        <f t="shared" si="42"/>
        <v>108810.4419</v>
      </c>
      <c r="N96" s="210">
        <f t="shared" si="42"/>
        <v>19290878.04</v>
      </c>
      <c r="O96" s="1"/>
    </row>
    <row r="97" ht="12.75" customHeight="1">
      <c r="A97" s="1"/>
      <c r="B97" s="1"/>
      <c r="C97" s="1"/>
      <c r="D97" s="1"/>
      <c r="E97" s="105"/>
      <c r="F97" s="105"/>
      <c r="G97" s="105"/>
      <c r="H97" s="105"/>
      <c r="I97" s="105"/>
      <c r="J97" s="105"/>
      <c r="K97" s="105"/>
      <c r="L97" s="105"/>
      <c r="M97" s="105"/>
      <c r="N97" s="105"/>
      <c r="O97" s="1"/>
    </row>
    <row r="98" ht="12.75" customHeight="1">
      <c r="A98" s="1"/>
      <c r="B98" s="1" t="s">
        <v>155</v>
      </c>
      <c r="C98" s="1"/>
      <c r="D98" s="209">
        <f t="shared" ref="D98:N98" si="43">SUM($D93:D93)</f>
        <v>-54895500</v>
      </c>
      <c r="E98" s="210">
        <f t="shared" si="43"/>
        <v>-52065128.62</v>
      </c>
      <c r="F98" s="210">
        <f t="shared" si="43"/>
        <v>-48585428.76</v>
      </c>
      <c r="G98" s="210">
        <f t="shared" si="43"/>
        <v>-44422744.52</v>
      </c>
      <c r="H98" s="210">
        <f t="shared" si="43"/>
        <v>-62810703.75</v>
      </c>
      <c r="I98" s="210">
        <f t="shared" si="43"/>
        <v>-55470436.37</v>
      </c>
      <c r="J98" s="210">
        <f t="shared" si="43"/>
        <v>-47335705.07</v>
      </c>
      <c r="K98" s="210">
        <f t="shared" si="43"/>
        <v>-38365548.89</v>
      </c>
      <c r="L98" s="210">
        <f t="shared" si="43"/>
        <v>-28516946.41</v>
      </c>
      <c r="M98" s="210">
        <f t="shared" si="43"/>
        <v>-17744712.67</v>
      </c>
      <c r="N98" s="210">
        <f t="shared" si="43"/>
        <v>88750860.91</v>
      </c>
      <c r="O98" s="1"/>
    </row>
    <row r="99" ht="12.75" customHeight="1">
      <c r="A99" s="1"/>
      <c r="B99" s="1" t="s">
        <v>156</v>
      </c>
      <c r="C99" s="1"/>
      <c r="D99" s="209">
        <f t="shared" ref="D99:N99" si="44">SUM($D94:D94)</f>
        <v>-1000000</v>
      </c>
      <c r="E99" s="209">
        <f t="shared" si="44"/>
        <v>-948440.7395</v>
      </c>
      <c r="F99" s="209">
        <f t="shared" si="44"/>
        <v>-885053.0327</v>
      </c>
      <c r="G99" s="209">
        <f t="shared" si="44"/>
        <v>-809223.7891</v>
      </c>
      <c r="H99" s="209">
        <f t="shared" si="44"/>
        <v>-1144186.75</v>
      </c>
      <c r="I99" s="209">
        <f t="shared" si="44"/>
        <v>-1010473.288</v>
      </c>
      <c r="J99" s="209">
        <f t="shared" si="44"/>
        <v>-862287.5294</v>
      </c>
      <c r="K99" s="209">
        <f t="shared" si="44"/>
        <v>-698883.3126</v>
      </c>
      <c r="L99" s="209">
        <f t="shared" si="44"/>
        <v>-519476.941</v>
      </c>
      <c r="M99" s="209">
        <f t="shared" si="44"/>
        <v>-323245.3056</v>
      </c>
      <c r="N99" s="209">
        <f t="shared" si="44"/>
        <v>1616723.792</v>
      </c>
      <c r="O99" s="1"/>
    </row>
    <row r="100" ht="12.75" customHeight="1">
      <c r="A100" s="1"/>
      <c r="B100" s="179" t="s">
        <v>157</v>
      </c>
      <c r="C100" s="211"/>
      <c r="D100" s="212"/>
      <c r="E100" s="180">
        <f t="shared" ref="E100:N100" si="45">SUM($D93:E93)/-$D93</f>
        <v>-0.9484407395</v>
      </c>
      <c r="F100" s="180">
        <f t="shared" si="45"/>
        <v>-0.8850530327</v>
      </c>
      <c r="G100" s="180">
        <f t="shared" si="45"/>
        <v>-0.8092237891</v>
      </c>
      <c r="H100" s="180">
        <f t="shared" si="45"/>
        <v>-1.14418675</v>
      </c>
      <c r="I100" s="180">
        <f t="shared" si="45"/>
        <v>-1.010473288</v>
      </c>
      <c r="J100" s="180">
        <f t="shared" si="45"/>
        <v>-0.8622875294</v>
      </c>
      <c r="K100" s="180">
        <f t="shared" si="45"/>
        <v>-0.6988833126</v>
      </c>
      <c r="L100" s="180">
        <f t="shared" si="45"/>
        <v>-0.519476941</v>
      </c>
      <c r="M100" s="180">
        <f t="shared" si="45"/>
        <v>-0.3232453056</v>
      </c>
      <c r="N100" s="180">
        <f t="shared" si="45"/>
        <v>1.616723792</v>
      </c>
      <c r="O100" s="1"/>
    </row>
    <row r="101" ht="12.75" customHeight="1">
      <c r="A101" s="1"/>
      <c r="B101" s="1" t="s">
        <v>158</v>
      </c>
      <c r="C101" s="1"/>
      <c r="D101" s="209">
        <f t="shared" ref="D101:N101" si="46">SUM($D96:D96)</f>
        <v>-554500</v>
      </c>
      <c r="E101" s="210">
        <f t="shared" si="46"/>
        <v>-525910.3901</v>
      </c>
      <c r="F101" s="210">
        <f t="shared" si="46"/>
        <v>-490761.9067</v>
      </c>
      <c r="G101" s="210">
        <f t="shared" si="46"/>
        <v>-448714.5911</v>
      </c>
      <c r="H101" s="210">
        <f t="shared" si="46"/>
        <v>-634451.553</v>
      </c>
      <c r="I101" s="210">
        <f t="shared" si="46"/>
        <v>-560307.438</v>
      </c>
      <c r="J101" s="210">
        <f t="shared" si="46"/>
        <v>-478138.4351</v>
      </c>
      <c r="K101" s="210">
        <f t="shared" si="46"/>
        <v>-387530.7969</v>
      </c>
      <c r="L101" s="210">
        <f t="shared" si="46"/>
        <v>-288049.9638</v>
      </c>
      <c r="M101" s="210">
        <f t="shared" si="46"/>
        <v>-179239.5219</v>
      </c>
      <c r="N101" s="210">
        <f t="shared" si="46"/>
        <v>19111638.52</v>
      </c>
      <c r="O101" s="1"/>
    </row>
    <row r="102" ht="12.75" customHeight="1">
      <c r="A102" s="1"/>
      <c r="B102" s="179" t="s">
        <v>159</v>
      </c>
      <c r="C102" s="1"/>
      <c r="D102" s="1"/>
      <c r="E102" s="213">
        <f t="shared" ref="E102:N102" si="47">SUM($D96:E96)/-$D96</f>
        <v>-0.9484407395</v>
      </c>
      <c r="F102" s="213">
        <f t="shared" si="47"/>
        <v>-0.8850530327</v>
      </c>
      <c r="G102" s="213">
        <f t="shared" si="47"/>
        <v>-0.8092237891</v>
      </c>
      <c r="H102" s="213">
        <f t="shared" si="47"/>
        <v>-1.14418675</v>
      </c>
      <c r="I102" s="213">
        <f t="shared" si="47"/>
        <v>-1.010473288</v>
      </c>
      <c r="J102" s="213">
        <f t="shared" si="47"/>
        <v>-0.8622875294</v>
      </c>
      <c r="K102" s="213">
        <f t="shared" si="47"/>
        <v>-0.6988833126</v>
      </c>
      <c r="L102" s="213">
        <f t="shared" si="47"/>
        <v>-0.519476941</v>
      </c>
      <c r="M102" s="213">
        <f t="shared" si="47"/>
        <v>-0.3232453056</v>
      </c>
      <c r="N102" s="213">
        <f t="shared" si="47"/>
        <v>34.46643556</v>
      </c>
      <c r="O102" s="1"/>
    </row>
    <row r="103" ht="12.75" customHeight="1">
      <c r="A103" s="1"/>
      <c r="B103" s="214" t="s">
        <v>160</v>
      </c>
      <c r="C103" s="1"/>
      <c r="D103" s="1"/>
      <c r="E103" s="105"/>
      <c r="F103" s="105"/>
      <c r="G103" s="105"/>
      <c r="H103" s="105"/>
      <c r="I103" s="105"/>
      <c r="J103" s="105"/>
      <c r="K103" s="105"/>
      <c r="L103" s="105"/>
      <c r="M103" s="105"/>
      <c r="N103" s="105"/>
      <c r="O103" s="1"/>
    </row>
    <row r="104" ht="12.75" customHeight="1">
      <c r="A104" s="1"/>
      <c r="B104" s="1"/>
      <c r="C104" s="1"/>
      <c r="D104" s="1"/>
      <c r="E104" s="1"/>
      <c r="F104" s="1"/>
      <c r="G104" s="1"/>
      <c r="H104" s="1"/>
      <c r="I104" s="1"/>
      <c r="J104" s="1"/>
      <c r="K104" s="1"/>
      <c r="L104" s="1"/>
      <c r="M104" s="1"/>
      <c r="N104" s="1"/>
      <c r="O104" s="1"/>
    </row>
    <row r="105" ht="12.75" customHeight="1">
      <c r="A105" s="1"/>
      <c r="B105" s="1"/>
      <c r="C105" s="1"/>
      <c r="D105" s="1"/>
      <c r="E105" s="1"/>
      <c r="F105" s="1"/>
      <c r="G105" s="1"/>
      <c r="H105" s="1"/>
      <c r="I105" s="1"/>
      <c r="J105" s="1"/>
      <c r="K105" s="1"/>
      <c r="L105" s="1"/>
      <c r="M105" s="1"/>
      <c r="N105" s="209"/>
      <c r="O105" s="1"/>
    </row>
    <row r="106" ht="12.75" customHeight="1">
      <c r="A106" s="1"/>
      <c r="B106" s="1" t="s">
        <v>161</v>
      </c>
      <c r="C106" s="215">
        <f>IRR(D93:N93)</f>
        <v>0.1109616807</v>
      </c>
      <c r="D106" s="1"/>
      <c r="E106" s="1"/>
      <c r="F106" s="1"/>
      <c r="G106" s="1"/>
      <c r="H106" s="1"/>
      <c r="I106" s="1"/>
      <c r="J106" s="1"/>
      <c r="K106" s="1"/>
      <c r="L106" s="1"/>
      <c r="M106" s="1"/>
      <c r="N106" s="1"/>
      <c r="O106" s="1"/>
    </row>
    <row r="107" ht="12.75" customHeight="1">
      <c r="A107" s="1"/>
      <c r="B107" s="216" t="s">
        <v>162</v>
      </c>
      <c r="C107" s="217">
        <f>IRR(D96:N96)</f>
        <v>0.4383730248</v>
      </c>
      <c r="D107" s="216"/>
      <c r="E107" s="216"/>
      <c r="F107" s="216"/>
      <c r="G107" s="216"/>
      <c r="H107" s="216"/>
      <c r="I107" s="216"/>
      <c r="J107" s="216"/>
      <c r="K107" s="216"/>
      <c r="L107" s="216"/>
      <c r="M107" s="216"/>
      <c r="N107" s="216"/>
      <c r="O107" s="1"/>
    </row>
    <row r="108" ht="12.75" customHeight="1">
      <c r="A108" s="1"/>
      <c r="B108" s="1"/>
      <c r="C108" s="218"/>
      <c r="D108" s="1"/>
      <c r="E108" s="1"/>
      <c r="F108" s="1"/>
      <c r="G108" s="1"/>
      <c r="H108" s="1"/>
      <c r="I108" s="1"/>
      <c r="J108" s="1"/>
      <c r="K108" s="1"/>
      <c r="L108" s="1"/>
      <c r="M108" s="1"/>
      <c r="N108" s="1"/>
      <c r="O108" s="1"/>
    </row>
    <row r="109" ht="12.75" customHeight="1">
      <c r="A109" s="1"/>
      <c r="B109" s="1"/>
      <c r="C109" s="1"/>
      <c r="D109" s="1"/>
      <c r="E109" s="105"/>
      <c r="F109" s="105"/>
      <c r="G109" s="105"/>
      <c r="H109" s="105"/>
      <c r="I109" s="105"/>
      <c r="J109" s="105"/>
      <c r="K109" s="105"/>
      <c r="L109" s="105"/>
      <c r="M109" s="105"/>
      <c r="N109" s="105"/>
      <c r="O109" s="1"/>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E2:N2"/>
    <mergeCell ref="C4:C5"/>
    <mergeCell ref="E16:N16"/>
  </mergeCells>
  <dataValidations>
    <dataValidation type="list" allowBlank="1" showErrorMessage="1" sqref="D66 C87">
      <formula1>"1.0,2.0,3.0,4.0,5.0,6.0,7.0,8.0,9.0,10.0,NA"</formula1>
    </dataValidation>
  </dataValidations>
  <printOptions horizontalCentered="1" verticalCentered="1"/>
  <pageMargins bottom="0.75" footer="0.0" header="0.0" left="0.25" right="0.25"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fitToPage="1"/>
  </sheetPr>
  <sheetViews>
    <sheetView showGridLines="0"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2.63" defaultRowHeight="15.0"/>
  <cols>
    <col customWidth="1" min="1" max="1" width="2.0"/>
    <col customWidth="1" min="2" max="2" width="34.25"/>
    <col customWidth="1" min="3" max="12" width="12.75"/>
    <col customWidth="1" min="13" max="13" width="8.75"/>
    <col customWidth="1" min="14" max="26" width="14.38"/>
  </cols>
  <sheetData>
    <row r="1" ht="14.25" customHeight="1">
      <c r="A1" s="38"/>
      <c r="B1" s="38"/>
      <c r="C1" s="38"/>
      <c r="D1" s="38"/>
      <c r="E1" s="38"/>
      <c r="F1" s="38"/>
      <c r="G1" s="38"/>
      <c r="H1" s="38"/>
      <c r="I1" s="38"/>
      <c r="J1" s="38"/>
      <c r="K1" s="38"/>
      <c r="L1" s="38"/>
      <c r="M1" s="38"/>
    </row>
    <row r="2" ht="14.25" customHeight="1">
      <c r="A2" s="38"/>
      <c r="B2" s="65" t="str">
        <f>'Global Inputs'!C1</f>
        <v/>
      </c>
      <c r="C2" s="38"/>
      <c r="D2" s="38"/>
      <c r="E2" s="38"/>
      <c r="F2" s="38"/>
      <c r="G2" s="38"/>
      <c r="H2" s="38"/>
      <c r="I2" s="38"/>
      <c r="J2" s="38"/>
      <c r="K2" s="38"/>
      <c r="L2" s="38"/>
      <c r="M2" s="38"/>
    </row>
    <row r="3" ht="14.25" customHeight="1">
      <c r="A3" s="38"/>
      <c r="B3" s="65" t="str">
        <f>'Global Inputs'!A2</f>
        <v/>
      </c>
      <c r="C3" s="38"/>
      <c r="D3" s="38"/>
      <c r="E3" s="38"/>
      <c r="F3" s="38"/>
      <c r="G3" s="38"/>
      <c r="H3" s="38"/>
      <c r="I3" s="38"/>
      <c r="J3" s="38"/>
      <c r="K3" s="38"/>
      <c r="L3" s="38"/>
      <c r="M3" s="38"/>
    </row>
    <row r="4" ht="14.25" customHeight="1">
      <c r="A4" s="38"/>
      <c r="B4" s="65" t="str">
        <f>'Pro Forma Detail'!C87&amp;" Year Financial Summary"</f>
        <v>10 Year Financial Summary</v>
      </c>
      <c r="C4" s="219">
        <v>1.0</v>
      </c>
      <c r="D4" s="219">
        <f>IF(C4="","",IF(C4+1&gt;'Pro Forma Detail'!$C87,"",C4+1))</f>
        <v>2</v>
      </c>
      <c r="E4" s="219">
        <f>IF(D4="","",IF(D4+1&gt;'Pro Forma Detail'!$C87,"",D4+1))</f>
        <v>3</v>
      </c>
      <c r="F4" s="219">
        <f>IF(E4="","",IF(E4+1&gt;'Pro Forma Detail'!$C87,"",E4+1))</f>
        <v>4</v>
      </c>
      <c r="G4" s="219">
        <f>IF(F4="","",IF(F4+1&gt;'Pro Forma Detail'!$C87,"",F4+1))</f>
        <v>5</v>
      </c>
      <c r="H4" s="219">
        <f>IF(G4="","",IF(G4+1&gt;'Pro Forma Detail'!$C87,"",G4+1))</f>
        <v>6</v>
      </c>
      <c r="I4" s="219">
        <f>IF(H4="","",IF(H4+1&gt;'Pro Forma Detail'!$C87,"",H4+1))</f>
        <v>7</v>
      </c>
      <c r="J4" s="219">
        <f>IF(I4="","",IF(I4+1&gt;'Pro Forma Detail'!$C87,"",I4+1))</f>
        <v>8</v>
      </c>
      <c r="K4" s="219">
        <f>IF(J4="","",IF(J4+1&gt;'Pro Forma Detail'!$C87,"",J4+1))</f>
        <v>9</v>
      </c>
      <c r="L4" s="219">
        <f>IF(K4="","",IF(K4+1&gt;'Pro Forma Detail'!$C87,"",K4+1))</f>
        <v>10</v>
      </c>
      <c r="M4" s="38"/>
    </row>
    <row r="5" ht="14.25" customHeight="1">
      <c r="A5" s="38"/>
      <c r="B5" s="65"/>
      <c r="C5" s="38"/>
      <c r="D5" s="38"/>
      <c r="E5" s="38"/>
      <c r="F5" s="38"/>
      <c r="G5" s="38"/>
      <c r="H5" s="38"/>
      <c r="I5" s="38"/>
      <c r="J5" s="38"/>
      <c r="K5" s="38"/>
      <c r="L5" s="38"/>
      <c r="M5" s="38"/>
    </row>
    <row r="6" ht="14.25" customHeight="1">
      <c r="A6" s="38"/>
      <c r="B6" s="220" t="s">
        <v>163</v>
      </c>
      <c r="C6" s="221"/>
      <c r="D6" s="221"/>
      <c r="E6" s="221"/>
      <c r="F6" s="221"/>
      <c r="G6" s="221"/>
      <c r="H6" s="221"/>
      <c r="I6" s="221"/>
      <c r="J6" s="221"/>
      <c r="K6" s="221"/>
      <c r="L6" s="222"/>
      <c r="M6" s="38"/>
    </row>
    <row r="7" ht="14.25" customHeight="1">
      <c r="A7" s="38"/>
      <c r="B7" s="223" t="s">
        <v>164</v>
      </c>
      <c r="C7" s="224">
        <f>IF(C4&gt;'Pro Forma Detail'!$C87,"",'Pro Forma Detail'!E5)</f>
        <v>15365700</v>
      </c>
      <c r="D7" s="224">
        <f>IF(D4&gt;'Pro Forma Detail'!$C87,"",'Pro Forma Detail'!F5)</f>
        <v>16133985</v>
      </c>
      <c r="E7" s="224">
        <f>IF(E4&gt;'Pro Forma Detail'!$C87,"",'Pro Forma Detail'!G5)</f>
        <v>16940684.25</v>
      </c>
      <c r="F7" s="224">
        <f>IF(F4&gt;'Pro Forma Detail'!$C87,"",'Pro Forma Detail'!H5)</f>
        <v>17787718.46</v>
      </c>
      <c r="G7" s="224">
        <f>IF(G4&gt;'Pro Forma Detail'!$C87,"",'Pro Forma Detail'!I5)</f>
        <v>18677104.39</v>
      </c>
      <c r="H7" s="224">
        <f>IF(H4&gt;'Pro Forma Detail'!$C87,"",'Pro Forma Detail'!J5)</f>
        <v>19610959.6</v>
      </c>
      <c r="I7" s="224">
        <f>IF(I4&gt;'Pro Forma Detail'!$C87,"",'Pro Forma Detail'!K5)</f>
        <v>20591507.59</v>
      </c>
      <c r="J7" s="224">
        <f>IF(J4&gt;'Pro Forma Detail'!$C87,"",'Pro Forma Detail'!L5)</f>
        <v>21621082.96</v>
      </c>
      <c r="K7" s="224">
        <f>IF(K4&gt;'Pro Forma Detail'!$C87,"",'Pro Forma Detail'!M5)</f>
        <v>22702137.11</v>
      </c>
      <c r="L7" s="225">
        <f>IF(L4&gt;'Pro Forma Detail'!$C87,"",'Pro Forma Detail'!N5)</f>
        <v>23837243.97</v>
      </c>
      <c r="M7" s="38"/>
    </row>
    <row r="8" ht="14.25" customHeight="1">
      <c r="A8" s="38"/>
      <c r="B8" s="226" t="s">
        <v>165</v>
      </c>
      <c r="C8" s="102">
        <f>IF(C4&gt;'Pro Forma Detail'!$C87,"",'Pro Forma Detail'!E12)</f>
        <v>-768285</v>
      </c>
      <c r="D8" s="102">
        <f>IF(D4&gt;'Pro Forma Detail'!$C87,"",'Pro Forma Detail'!F12)</f>
        <v>-806699.25</v>
      </c>
      <c r="E8" s="102">
        <f>IF(E4&gt;'Pro Forma Detail'!$C87,"",'Pro Forma Detail'!G12)</f>
        <v>-847034.2125</v>
      </c>
      <c r="F8" s="102">
        <f>IF(F4&gt;'Pro Forma Detail'!$C87,"",'Pro Forma Detail'!H12)</f>
        <v>-889385.9231</v>
      </c>
      <c r="G8" s="102">
        <f>IF(G4&gt;'Pro Forma Detail'!$C87,"",'Pro Forma Detail'!I12)</f>
        <v>-933855.2193</v>
      </c>
      <c r="H8" s="102">
        <f>IF(H4&gt;'Pro Forma Detail'!$C87,"",'Pro Forma Detail'!J12)</f>
        <v>-980547.9802</v>
      </c>
      <c r="I8" s="102">
        <f>IF(I4&gt;'Pro Forma Detail'!$C87,"",'Pro Forma Detail'!K12)</f>
        <v>-1029575.379</v>
      </c>
      <c r="J8" s="102">
        <f>IF(J4&gt;'Pro Forma Detail'!$C87,"",'Pro Forma Detail'!L12)</f>
        <v>-1081054.148</v>
      </c>
      <c r="K8" s="102">
        <f>IF(K4&gt;'Pro Forma Detail'!$C87,"",'Pro Forma Detail'!M12)</f>
        <v>-1135106.856</v>
      </c>
      <c r="L8" s="227">
        <f>IF(L4&gt;'Pro Forma Detail'!$C87,"",'Pro Forma Detail'!N12)</f>
        <v>-1191862.198</v>
      </c>
      <c r="M8" s="38"/>
    </row>
    <row r="9" ht="14.25" customHeight="1">
      <c r="A9" s="38"/>
      <c r="B9" s="226" t="s">
        <v>166</v>
      </c>
      <c r="C9" s="102">
        <f>IF(C4&gt;'Pro Forma Detail'!$C87,"",'Pro Forma Detail'!E13)</f>
        <v>-307314</v>
      </c>
      <c r="D9" s="102">
        <f>IF(D4&gt;'Pro Forma Detail'!$C87,"",'Pro Forma Detail'!F13)</f>
        <v>-322679.7</v>
      </c>
      <c r="E9" s="102">
        <f>IF(E4&gt;'Pro Forma Detail'!$C87,"",'Pro Forma Detail'!G13)</f>
        <v>-338813.685</v>
      </c>
      <c r="F9" s="102">
        <f>IF(F4&gt;'Pro Forma Detail'!$C87,"",'Pro Forma Detail'!H13)</f>
        <v>-355754.3693</v>
      </c>
      <c r="G9" s="102">
        <f>IF(G4&gt;'Pro Forma Detail'!$C87,"",'Pro Forma Detail'!I13)</f>
        <v>-373542.0877</v>
      </c>
      <c r="H9" s="102">
        <f>IF(H4&gt;'Pro Forma Detail'!$C87,"",'Pro Forma Detail'!J13)</f>
        <v>-392219.1921</v>
      </c>
      <c r="I9" s="102">
        <f>IF(I4&gt;'Pro Forma Detail'!$C87,"",'Pro Forma Detail'!K13)</f>
        <v>-411830.1517</v>
      </c>
      <c r="J9" s="102">
        <f>IF(J4&gt;'Pro Forma Detail'!$C87,"",'Pro Forma Detail'!L13)</f>
        <v>-432421.6593</v>
      </c>
      <c r="K9" s="102">
        <f>IF(K4&gt;'Pro Forma Detail'!$C87,"",'Pro Forma Detail'!M13)</f>
        <v>-454042.7423</v>
      </c>
      <c r="L9" s="227">
        <f>IF(L4&gt;'Pro Forma Detail'!$C87,"",'Pro Forma Detail'!N13)</f>
        <v>-476744.8794</v>
      </c>
      <c r="M9" s="38"/>
    </row>
    <row r="10" ht="14.25" customHeight="1">
      <c r="A10" s="38"/>
      <c r="B10" s="228" t="s">
        <v>167</v>
      </c>
      <c r="C10" s="229">
        <f>IF(C4&gt;'Pro Forma Detail'!$C87,"",SUM(C7:C9))</f>
        <v>14290101</v>
      </c>
      <c r="D10" s="229">
        <f>IF(D4&gt;'Pro Forma Detail'!$C87,"",SUM(D7:D9))</f>
        <v>15004606.05</v>
      </c>
      <c r="E10" s="229">
        <f>IF(E4&gt;'Pro Forma Detail'!$C87,"",SUM(E7:E9))</f>
        <v>15754836.35</v>
      </c>
      <c r="F10" s="229">
        <f>IF(F4&gt;'Pro Forma Detail'!$C87,"",SUM(F7:F9))</f>
        <v>16542578.17</v>
      </c>
      <c r="G10" s="229">
        <f>IF(G4&gt;'Pro Forma Detail'!$C87,"",SUM(G7:G9))</f>
        <v>17369707.08</v>
      </c>
      <c r="H10" s="229">
        <f>IF(H4&gt;'Pro Forma Detail'!$C87,"",SUM(H7:H9))</f>
        <v>18238192.43</v>
      </c>
      <c r="I10" s="229">
        <f>IF(I4&gt;'Pro Forma Detail'!$C87,"",SUM(I7:I9))</f>
        <v>19150102.05</v>
      </c>
      <c r="J10" s="229">
        <f>IF(J4&gt;'Pro Forma Detail'!$C87,"",SUM(J7:J9))</f>
        <v>20107607.16</v>
      </c>
      <c r="K10" s="229">
        <f>IF(K4&gt;'Pro Forma Detail'!$C87,"",SUM(K7:K9))</f>
        <v>21112987.51</v>
      </c>
      <c r="L10" s="230">
        <f>IF(L4&gt;'Pro Forma Detail'!$C87,"",SUM(L7:L9))</f>
        <v>22168636.89</v>
      </c>
      <c r="M10" s="38"/>
    </row>
    <row r="11" ht="14.25" customHeight="1">
      <c r="A11" s="38"/>
      <c r="B11" s="226" t="s">
        <v>168</v>
      </c>
      <c r="C11" s="102">
        <f>IF(C4&gt;'Pro Forma Detail'!$C87,"",'Pro Forma Detail'!E6)</f>
        <v>0</v>
      </c>
      <c r="D11" s="102">
        <f>IF(D4&gt;'Pro Forma Detail'!$C87,"",'Pro Forma Detail'!F6)</f>
        <v>0</v>
      </c>
      <c r="E11" s="102">
        <f>IF(E4&gt;'Pro Forma Detail'!$C87,"",'Pro Forma Detail'!G6)</f>
        <v>0</v>
      </c>
      <c r="F11" s="102">
        <f>IF(F4&gt;'Pro Forma Detail'!$C87,"",'Pro Forma Detail'!H6)</f>
        <v>0</v>
      </c>
      <c r="G11" s="102">
        <f>IF(G4&gt;'Pro Forma Detail'!$C87,"",'Pro Forma Detail'!I6)</f>
        <v>0</v>
      </c>
      <c r="H11" s="102">
        <f>IF(H4&gt;'Pro Forma Detail'!$C87,"",'Pro Forma Detail'!J6)</f>
        <v>0</v>
      </c>
      <c r="I11" s="102">
        <f>IF(I4&gt;'Pro Forma Detail'!$C87,"",'Pro Forma Detail'!K6)</f>
        <v>0</v>
      </c>
      <c r="J11" s="102">
        <f>IF(J4&gt;'Pro Forma Detail'!$C87,"",'Pro Forma Detail'!L6)</f>
        <v>0</v>
      </c>
      <c r="K11" s="102">
        <f>IF(K4&gt;'Pro Forma Detail'!$C87,"",'Pro Forma Detail'!M6)</f>
        <v>0</v>
      </c>
      <c r="L11" s="227">
        <f>IF(L4&gt;'Pro Forma Detail'!$C87,"",'Pro Forma Detail'!N6)</f>
        <v>0</v>
      </c>
      <c r="M11" s="38"/>
    </row>
    <row r="12" ht="14.25" customHeight="1">
      <c r="A12" s="38"/>
      <c r="B12" s="231" t="s">
        <v>103</v>
      </c>
      <c r="C12" s="232">
        <f t="shared" ref="C12:L12" si="1">IF(C4="","",SUM(C10:C11))</f>
        <v>14290101</v>
      </c>
      <c r="D12" s="232">
        <f t="shared" si="1"/>
        <v>15004606.05</v>
      </c>
      <c r="E12" s="232">
        <f t="shared" si="1"/>
        <v>15754836.35</v>
      </c>
      <c r="F12" s="232">
        <f t="shared" si="1"/>
        <v>16542578.17</v>
      </c>
      <c r="G12" s="232">
        <f t="shared" si="1"/>
        <v>17369707.08</v>
      </c>
      <c r="H12" s="232">
        <f t="shared" si="1"/>
        <v>18238192.43</v>
      </c>
      <c r="I12" s="232">
        <f t="shared" si="1"/>
        <v>19150102.05</v>
      </c>
      <c r="J12" s="232">
        <f t="shared" si="1"/>
        <v>20107607.16</v>
      </c>
      <c r="K12" s="232">
        <f t="shared" si="1"/>
        <v>21112987.51</v>
      </c>
      <c r="L12" s="233">
        <f t="shared" si="1"/>
        <v>22168636.89</v>
      </c>
      <c r="M12" s="38"/>
    </row>
    <row r="13" ht="14.25" customHeight="1">
      <c r="A13" s="38"/>
      <c r="B13" s="234"/>
      <c r="C13" s="38"/>
      <c r="D13" s="38"/>
      <c r="E13" s="38"/>
      <c r="F13" s="38"/>
      <c r="G13" s="38"/>
      <c r="H13" s="38"/>
      <c r="I13" s="38"/>
      <c r="J13" s="38"/>
      <c r="K13" s="38"/>
      <c r="L13" s="235"/>
      <c r="M13" s="38"/>
    </row>
    <row r="14" ht="14.25" customHeight="1">
      <c r="A14" s="38"/>
      <c r="B14" s="43" t="s">
        <v>104</v>
      </c>
      <c r="C14" s="236"/>
      <c r="D14" s="236"/>
      <c r="E14" s="236"/>
      <c r="F14" s="236"/>
      <c r="G14" s="236"/>
      <c r="H14" s="236"/>
      <c r="I14" s="236"/>
      <c r="J14" s="236"/>
      <c r="K14" s="236"/>
      <c r="L14" s="237"/>
      <c r="M14" s="38"/>
    </row>
    <row r="15" ht="14.25" customHeight="1">
      <c r="A15" s="38"/>
      <c r="B15" s="238" t="s">
        <v>169</v>
      </c>
      <c r="C15" s="239">
        <f>IF(C4&gt;'Pro Forma Detail'!$C87,"",'Pro Forma Detail'!E19)</f>
        <v>87500</v>
      </c>
      <c r="D15" s="239">
        <f>IF(D4&gt;'Pro Forma Detail'!$C87,"",'Pro Forma Detail'!F19)</f>
        <v>88375</v>
      </c>
      <c r="E15" s="239">
        <f>IF(E4&gt;'Pro Forma Detail'!$C87,"",'Pro Forma Detail'!G19)</f>
        <v>89258.75</v>
      </c>
      <c r="F15" s="239">
        <f>IF(F4&gt;'Pro Forma Detail'!$C87,"",'Pro Forma Detail'!H19)</f>
        <v>90151.3375</v>
      </c>
      <c r="G15" s="239">
        <f>IF(G4&gt;'Pro Forma Detail'!$C87,"",'Pro Forma Detail'!I19)</f>
        <v>91052.85088</v>
      </c>
      <c r="H15" s="239">
        <f>IF(H4&gt;'Pro Forma Detail'!$C87,"",'Pro Forma Detail'!J19)</f>
        <v>91963.37938</v>
      </c>
      <c r="I15" s="239">
        <f>IF(I4&gt;'Pro Forma Detail'!$C87,"",'Pro Forma Detail'!K19)</f>
        <v>92883.01318</v>
      </c>
      <c r="J15" s="239">
        <f>IF(J4&gt;'Pro Forma Detail'!$C87,"",'Pro Forma Detail'!L19)</f>
        <v>93811.84331</v>
      </c>
      <c r="K15" s="239">
        <f>IF(K4&gt;'Pro Forma Detail'!$C87,"",'Pro Forma Detail'!M19)</f>
        <v>94749.96174</v>
      </c>
      <c r="L15" s="240">
        <f>IF(L4&gt;'Pro Forma Detail'!$C87,"",'Pro Forma Detail'!N19)</f>
        <v>95697.46136</v>
      </c>
      <c r="M15" s="38"/>
    </row>
    <row r="16" ht="14.25" customHeight="1">
      <c r="A16" s="38"/>
      <c r="B16" s="234" t="s">
        <v>170</v>
      </c>
      <c r="C16" s="83">
        <f>IF(C4&gt;'Pro Forma Detail'!$C87,"",'Pro Forma Detail'!E20)</f>
        <v>131250</v>
      </c>
      <c r="D16" s="83">
        <f>IF(D4&gt;'Pro Forma Detail'!$C87,"",'Pro Forma Detail'!F20)</f>
        <v>132562.5</v>
      </c>
      <c r="E16" s="83">
        <f>IF(E4&gt;'Pro Forma Detail'!$C87,"",'Pro Forma Detail'!G20)</f>
        <v>133888.125</v>
      </c>
      <c r="F16" s="83">
        <f>IF(F4&gt;'Pro Forma Detail'!$C87,"",'Pro Forma Detail'!H20)</f>
        <v>135227.0063</v>
      </c>
      <c r="G16" s="83">
        <f>IF(G4&gt;'Pro Forma Detail'!$C87,"",'Pro Forma Detail'!I20)</f>
        <v>136579.2763</v>
      </c>
      <c r="H16" s="83">
        <f>IF(H4&gt;'Pro Forma Detail'!$C87,"",'Pro Forma Detail'!J20)</f>
        <v>137945.0691</v>
      </c>
      <c r="I16" s="83">
        <f>IF(I4&gt;'Pro Forma Detail'!$C87,"",'Pro Forma Detail'!K20)</f>
        <v>139324.5198</v>
      </c>
      <c r="J16" s="83">
        <f>IF(J4&gt;'Pro Forma Detail'!$C87,"",'Pro Forma Detail'!L20)</f>
        <v>140717.765</v>
      </c>
      <c r="K16" s="83">
        <f>IF(K4&gt;'Pro Forma Detail'!$C87,"",'Pro Forma Detail'!M20)</f>
        <v>142124.9426</v>
      </c>
      <c r="L16" s="241">
        <f>IF(L4&gt;'Pro Forma Detail'!$C87,"",'Pro Forma Detail'!N20)</f>
        <v>143546.192</v>
      </c>
      <c r="M16" s="38"/>
    </row>
    <row r="17" ht="14.25" customHeight="1">
      <c r="A17" s="38"/>
      <c r="B17" s="234" t="s">
        <v>171</v>
      </c>
      <c r="C17" s="83">
        <f>IF(C4&gt;'Pro Forma Detail'!$C87,"",'Pro Forma Detail'!E21)</f>
        <v>350000</v>
      </c>
      <c r="D17" s="83">
        <f>IF(D4&gt;'Pro Forma Detail'!$C87,"",'Pro Forma Detail'!F21)</f>
        <v>353500</v>
      </c>
      <c r="E17" s="83">
        <f>IF(E4&gt;'Pro Forma Detail'!$C87,"",'Pro Forma Detail'!G21)</f>
        <v>357035</v>
      </c>
      <c r="F17" s="83">
        <f>IF(F4&gt;'Pro Forma Detail'!$C87,"",'Pro Forma Detail'!H21)</f>
        <v>360605.35</v>
      </c>
      <c r="G17" s="83">
        <f>IF(G4&gt;'Pro Forma Detail'!$C87,"",'Pro Forma Detail'!I21)</f>
        <v>364211.4035</v>
      </c>
      <c r="H17" s="83">
        <f>IF(H4&gt;'Pro Forma Detail'!$C87,"",'Pro Forma Detail'!J21)</f>
        <v>367853.5175</v>
      </c>
      <c r="I17" s="83">
        <f>IF(I4&gt;'Pro Forma Detail'!$C87,"",'Pro Forma Detail'!K21)</f>
        <v>371532.0527</v>
      </c>
      <c r="J17" s="83">
        <f>IF(J4&gt;'Pro Forma Detail'!$C87,"",'Pro Forma Detail'!L21)</f>
        <v>375247.3732</v>
      </c>
      <c r="K17" s="83">
        <f>IF(K4&gt;'Pro Forma Detail'!$C87,"",'Pro Forma Detail'!M21)</f>
        <v>378999.847</v>
      </c>
      <c r="L17" s="241">
        <f>IF(L4&gt;'Pro Forma Detail'!$C87,"",'Pro Forma Detail'!N21)</f>
        <v>382789.8454</v>
      </c>
      <c r="M17" s="38"/>
    </row>
    <row r="18" ht="14.25" customHeight="1">
      <c r="A18" s="38"/>
      <c r="B18" s="234" t="s">
        <v>172</v>
      </c>
      <c r="C18" s="83">
        <f>IF(C4&gt;'Pro Forma Detail'!$C87,"",'Pro Forma Detail'!E22)</f>
        <v>105000</v>
      </c>
      <c r="D18" s="83">
        <f>IF(D4&gt;'Pro Forma Detail'!$C87,"",'Pro Forma Detail'!F22)</f>
        <v>106050</v>
      </c>
      <c r="E18" s="83">
        <f>IF(E4&gt;'Pro Forma Detail'!$C87,"",'Pro Forma Detail'!G22)</f>
        <v>107110.5</v>
      </c>
      <c r="F18" s="83">
        <f>IF(F4&gt;'Pro Forma Detail'!$C87,"",'Pro Forma Detail'!H22)</f>
        <v>108181.605</v>
      </c>
      <c r="G18" s="83">
        <f>IF(G4&gt;'Pro Forma Detail'!$C87,"",'Pro Forma Detail'!I22)</f>
        <v>109263.4211</v>
      </c>
      <c r="H18" s="83">
        <f>IF(H4&gt;'Pro Forma Detail'!$C87,"",'Pro Forma Detail'!J22)</f>
        <v>110356.0553</v>
      </c>
      <c r="I18" s="83">
        <f>IF(I4&gt;'Pro Forma Detail'!$C87,"",'Pro Forma Detail'!K22)</f>
        <v>111459.6158</v>
      </c>
      <c r="J18" s="83">
        <f>IF(J4&gt;'Pro Forma Detail'!$C87,"",'Pro Forma Detail'!L22)</f>
        <v>112574.212</v>
      </c>
      <c r="K18" s="83">
        <f>IF(K4&gt;'Pro Forma Detail'!$C87,"",'Pro Forma Detail'!M22)</f>
        <v>113699.9541</v>
      </c>
      <c r="L18" s="241">
        <f>IF(L4&gt;'Pro Forma Detail'!$C87,"",'Pro Forma Detail'!N22)</f>
        <v>114836.9536</v>
      </c>
      <c r="M18" s="38"/>
    </row>
    <row r="19" ht="14.25" customHeight="1">
      <c r="A19" s="38"/>
      <c r="B19" s="234" t="s">
        <v>173</v>
      </c>
      <c r="C19" s="83">
        <f>IF(C4&gt;'Pro Forma Detail'!$C87,"",'Pro Forma Detail'!E23)</f>
        <v>571604.04</v>
      </c>
      <c r="D19" s="83">
        <f>IF(D4&gt;'Pro Forma Detail'!$C87,"",'Pro Forma Detail'!F23)</f>
        <v>600184.242</v>
      </c>
      <c r="E19" s="83">
        <f>IF(E4&gt;'Pro Forma Detail'!$C87,"",'Pro Forma Detail'!G23)</f>
        <v>630193.4541</v>
      </c>
      <c r="F19" s="83">
        <f>IF(F4&gt;'Pro Forma Detail'!$C87,"",'Pro Forma Detail'!H23)</f>
        <v>661703.1268</v>
      </c>
      <c r="G19" s="83">
        <f>IF(G4&gt;'Pro Forma Detail'!$C87,"",'Pro Forma Detail'!I23)</f>
        <v>694788.2831</v>
      </c>
      <c r="H19" s="83">
        <f>IF(H4&gt;'Pro Forma Detail'!$C87,"",'Pro Forma Detail'!J23)</f>
        <v>729527.6973</v>
      </c>
      <c r="I19" s="83">
        <f>IF(I4&gt;'Pro Forma Detail'!$C87,"",'Pro Forma Detail'!K23)</f>
        <v>766004.0822</v>
      </c>
      <c r="J19" s="83">
        <f>IF(J4&gt;'Pro Forma Detail'!$C87,"",'Pro Forma Detail'!L23)</f>
        <v>804304.2863</v>
      </c>
      <c r="K19" s="83">
        <f>IF(K4&gt;'Pro Forma Detail'!$C87,"",'Pro Forma Detail'!M23)</f>
        <v>844519.5006</v>
      </c>
      <c r="L19" s="241">
        <f>IF(L4&gt;'Pro Forma Detail'!$C87,"",'Pro Forma Detail'!N23)</f>
        <v>886745.4756</v>
      </c>
      <c r="M19" s="38"/>
    </row>
    <row r="20" ht="14.25" customHeight="1">
      <c r="A20" s="38"/>
      <c r="B20" s="234" t="s">
        <v>174</v>
      </c>
      <c r="C20" s="83">
        <f>IF(C4&gt;'Pro Forma Detail'!$C87,"",'Pro Forma Detail'!E24)</f>
        <v>100000</v>
      </c>
      <c r="D20" s="83">
        <f>IF(D4&gt;'Pro Forma Detail'!$C87,"",'Pro Forma Detail'!F24)</f>
        <v>101000</v>
      </c>
      <c r="E20" s="83">
        <f>IF(E4&gt;'Pro Forma Detail'!$C87,"",'Pro Forma Detail'!G24)</f>
        <v>102010</v>
      </c>
      <c r="F20" s="83">
        <f>IF(F4&gt;'Pro Forma Detail'!$C87,"",'Pro Forma Detail'!H24)</f>
        <v>103030.1</v>
      </c>
      <c r="G20" s="83">
        <f>IF(G4&gt;'Pro Forma Detail'!$C87,"",'Pro Forma Detail'!I24)</f>
        <v>104060.401</v>
      </c>
      <c r="H20" s="83">
        <f>IF(H4&gt;'Pro Forma Detail'!$C87,"",'Pro Forma Detail'!J24)</f>
        <v>105101.005</v>
      </c>
      <c r="I20" s="83">
        <f>IF(I4&gt;'Pro Forma Detail'!$C87,"",'Pro Forma Detail'!K24)</f>
        <v>106152.0151</v>
      </c>
      <c r="J20" s="83">
        <f>IF(J4&gt;'Pro Forma Detail'!$C87,"",'Pro Forma Detail'!L24)</f>
        <v>107213.5352</v>
      </c>
      <c r="K20" s="83">
        <f>IF(K4&gt;'Pro Forma Detail'!$C87,"",'Pro Forma Detail'!M24)</f>
        <v>108285.6706</v>
      </c>
      <c r="L20" s="241">
        <f>IF(L4&gt;'Pro Forma Detail'!$C87,"",'Pro Forma Detail'!N24)</f>
        <v>109368.5273</v>
      </c>
      <c r="M20" s="38"/>
    </row>
    <row r="21" ht="14.25" customHeight="1">
      <c r="A21" s="38"/>
      <c r="B21" s="242" t="str">
        <f>'Pro Forma Detail'!B25</f>
        <v>Administrative / Other</v>
      </c>
      <c r="C21" s="83">
        <f>IF(C4&gt;'Pro Forma Detail'!$C87,"",'Pro Forma Detail'!E25)</f>
        <v>50000</v>
      </c>
      <c r="D21" s="83">
        <f>IF(D4&gt;'Pro Forma Detail'!$C87,"",'Pro Forma Detail'!F25)</f>
        <v>50500</v>
      </c>
      <c r="E21" s="83">
        <f>IF(E4&gt;'Pro Forma Detail'!$C87,"",'Pro Forma Detail'!G25)</f>
        <v>51005</v>
      </c>
      <c r="F21" s="83">
        <f>IF(F4&gt;'Pro Forma Detail'!$C87,"",'Pro Forma Detail'!H25)</f>
        <v>51515.05</v>
      </c>
      <c r="G21" s="83">
        <f>IF(G4&gt;'Pro Forma Detail'!$C87,"",'Pro Forma Detail'!I25)</f>
        <v>52030.2005</v>
      </c>
      <c r="H21" s="83">
        <f>IF(H4&gt;'Pro Forma Detail'!$C87,"",'Pro Forma Detail'!J25)</f>
        <v>52550.50251</v>
      </c>
      <c r="I21" s="83">
        <f>IF(I4&gt;'Pro Forma Detail'!$C87,"",'Pro Forma Detail'!K25)</f>
        <v>53076.00753</v>
      </c>
      <c r="J21" s="83">
        <f>IF(J4&gt;'Pro Forma Detail'!$C87,"",'Pro Forma Detail'!L25)</f>
        <v>53606.76761</v>
      </c>
      <c r="K21" s="83">
        <f>IF(K4&gt;'Pro Forma Detail'!$C87,"",'Pro Forma Detail'!M25)</f>
        <v>54142.83528</v>
      </c>
      <c r="L21" s="241">
        <f>IF(L4&gt;'Pro Forma Detail'!$C87,"",'Pro Forma Detail'!N25)</f>
        <v>54684.26363</v>
      </c>
      <c r="M21" s="38"/>
    </row>
    <row r="22" ht="14.25" customHeight="1">
      <c r="A22" s="38"/>
      <c r="B22" s="242" t="str">
        <f>'Pro Forma Detail'!B26</f>
        <v>Utilities</v>
      </c>
      <c r="C22" s="83">
        <f>IF(C4&gt;'Pro Forma Detail'!$C87,"",'Pro Forma Detail'!E26)</f>
        <v>105000</v>
      </c>
      <c r="D22" s="83">
        <f>IF(D4&gt;'Pro Forma Detail'!$C87,"",'Pro Forma Detail'!F26)</f>
        <v>106050</v>
      </c>
      <c r="E22" s="83">
        <f>IF(E4&gt;'Pro Forma Detail'!$C87,"",'Pro Forma Detail'!G26)</f>
        <v>107110.5</v>
      </c>
      <c r="F22" s="83">
        <f>IF(F4&gt;'Pro Forma Detail'!$C87,"",'Pro Forma Detail'!H26)</f>
        <v>108181.605</v>
      </c>
      <c r="G22" s="83">
        <f>IF(G4&gt;'Pro Forma Detail'!$C87,"",'Pro Forma Detail'!I26)</f>
        <v>109263.4211</v>
      </c>
      <c r="H22" s="83">
        <f>IF(H4&gt;'Pro Forma Detail'!$C87,"",'Pro Forma Detail'!J26)</f>
        <v>110356.0553</v>
      </c>
      <c r="I22" s="83">
        <f>IF(I4&gt;'Pro Forma Detail'!$C87,"",'Pro Forma Detail'!K26)</f>
        <v>111459.6158</v>
      </c>
      <c r="J22" s="83">
        <f>IF(J4&gt;'Pro Forma Detail'!$C87,"",'Pro Forma Detail'!L26)</f>
        <v>112574.212</v>
      </c>
      <c r="K22" s="83">
        <f>IF(K4&gt;'Pro Forma Detail'!$C87,"",'Pro Forma Detail'!M26)</f>
        <v>113699.9541</v>
      </c>
      <c r="L22" s="241">
        <f>IF(L4&gt;'Pro Forma Detail'!$C87,"",'Pro Forma Detail'!N26)</f>
        <v>114836.9536</v>
      </c>
      <c r="M22" s="38"/>
    </row>
    <row r="23" ht="14.25" customHeight="1">
      <c r="A23" s="38"/>
      <c r="B23" s="242" t="str">
        <f>'Pro Forma Detail'!B31</f>
        <v>RE Taxes (increase post purchase)</v>
      </c>
      <c r="C23" s="83">
        <f>IF(C4&gt;'Pro Forma Detail'!$C87,"",'Pro Forma Detail'!E31)</f>
        <v>2000000</v>
      </c>
      <c r="D23" s="83">
        <f>IF(D4&gt;'Pro Forma Detail'!$C87,"",'Pro Forma Detail'!F31)</f>
        <v>2020000</v>
      </c>
      <c r="E23" s="83">
        <f>IF(E4&gt;'Pro Forma Detail'!$C87,"",'Pro Forma Detail'!G31)</f>
        <v>2040200</v>
      </c>
      <c r="F23" s="83">
        <f>IF(F4&gt;'Pro Forma Detail'!$C87,"",'Pro Forma Detail'!H31)</f>
        <v>2060602</v>
      </c>
      <c r="G23" s="83">
        <f>IF(G4&gt;'Pro Forma Detail'!$C87,"",'Pro Forma Detail'!I31)</f>
        <v>2081208.02</v>
      </c>
      <c r="H23" s="83">
        <f>IF(H4&gt;'Pro Forma Detail'!$C87,"",'Pro Forma Detail'!J31)</f>
        <v>2102020.1</v>
      </c>
      <c r="I23" s="83">
        <f>IF(I4&gt;'Pro Forma Detail'!$C87,"",'Pro Forma Detail'!K31)</f>
        <v>2123040.301</v>
      </c>
      <c r="J23" s="83">
        <f>IF(J4&gt;'Pro Forma Detail'!$C87,"",'Pro Forma Detail'!L31)</f>
        <v>2144270.704</v>
      </c>
      <c r="K23" s="83">
        <f>IF(K4&gt;'Pro Forma Detail'!$C87,"",'Pro Forma Detail'!M31)</f>
        <v>2165713.411</v>
      </c>
      <c r="L23" s="241">
        <f>IF(L4&gt;'Pro Forma Detail'!$C87,"",'Pro Forma Detail'!N31)</f>
        <v>2187370.545</v>
      </c>
      <c r="M23" s="38"/>
    </row>
    <row r="24" ht="14.25" customHeight="1">
      <c r="A24" s="38"/>
      <c r="B24" s="242" t="str">
        <f>'Pro Forma Detail'!B32</f>
        <v>Property Insurance</v>
      </c>
      <c r="C24" s="83">
        <f>IF(C4&gt;'Pro Forma Detail'!$C87,"",'Pro Forma Detail'!E32)</f>
        <v>75000</v>
      </c>
      <c r="D24" s="83">
        <f>IF(D4&gt;'Pro Forma Detail'!$C87,"",'Pro Forma Detail'!F32)</f>
        <v>75750</v>
      </c>
      <c r="E24" s="83">
        <f>IF(E4&gt;'Pro Forma Detail'!$C87,"",'Pro Forma Detail'!G32)</f>
        <v>76507.5</v>
      </c>
      <c r="F24" s="83">
        <f>IF(F4&gt;'Pro Forma Detail'!$C87,"",'Pro Forma Detail'!H32)</f>
        <v>77272.575</v>
      </c>
      <c r="G24" s="83">
        <f>IF(G4&gt;'Pro Forma Detail'!$C87,"",'Pro Forma Detail'!I32)</f>
        <v>78045.30075</v>
      </c>
      <c r="H24" s="83">
        <f>IF(H4&gt;'Pro Forma Detail'!$C87,"",'Pro Forma Detail'!J32)</f>
        <v>78825.75376</v>
      </c>
      <c r="I24" s="83">
        <f>IF(I4&gt;'Pro Forma Detail'!$C87,"",'Pro Forma Detail'!K32)</f>
        <v>79614.0113</v>
      </c>
      <c r="J24" s="83">
        <f>IF(J4&gt;'Pro Forma Detail'!$C87,"",'Pro Forma Detail'!L32)</f>
        <v>80410.15141</v>
      </c>
      <c r="K24" s="83">
        <f>IF(K4&gt;'Pro Forma Detail'!$C87,"",'Pro Forma Detail'!M32)</f>
        <v>81214.25292</v>
      </c>
      <c r="L24" s="241">
        <f>IF(L4&gt;'Pro Forma Detail'!$C87,"",'Pro Forma Detail'!N32)</f>
        <v>82026.39545</v>
      </c>
      <c r="M24" s="38"/>
    </row>
    <row r="25" ht="14.25" customHeight="1">
      <c r="A25" s="38"/>
      <c r="B25" s="243" t="s">
        <v>175</v>
      </c>
      <c r="C25" s="244">
        <f>IF(C4&gt;'Pro Forma Detail'!$C87,"",IF('helper data'!$C8="Yes",'helper data'!D9,SUM(C15:C24)))</f>
        <v>3575354.04</v>
      </c>
      <c r="D25" s="244">
        <f>IF(D4&gt;'Pro Forma Detail'!$C87,"",IF('helper data'!$C8="Yes",'helper data'!E9,SUM(D15:D24)))</f>
        <v>3633971.742</v>
      </c>
      <c r="E25" s="244">
        <f>IF(E4&gt;'Pro Forma Detail'!$C87,"",IF('helper data'!$C8="Yes",'helper data'!F9,SUM(E15:E24)))</f>
        <v>3694318.829</v>
      </c>
      <c r="F25" s="244">
        <f>IF(F4&gt;'Pro Forma Detail'!$C87,"",IF('helper data'!$C8="Yes",'helper data'!G9,SUM(F15:F24)))</f>
        <v>3756469.756</v>
      </c>
      <c r="G25" s="244">
        <f>IF(G4&gt;'Pro Forma Detail'!$C87,"",IF('helper data'!$C8="Yes",'helper data'!H9,SUM(G15:G24)))</f>
        <v>3820502.578</v>
      </c>
      <c r="H25" s="244">
        <f>IF(H4&gt;'Pro Forma Detail'!$C87,"",IF('helper data'!$C8="Yes",'helper data'!I9,SUM(H15:H24)))</f>
        <v>3886499.135</v>
      </c>
      <c r="I25" s="244">
        <f>IF(I4&gt;'Pro Forma Detail'!$C87,"",IF('helper data'!$C8="Yes",'helper data'!J9,SUM(I15:I24)))</f>
        <v>3954545.235</v>
      </c>
      <c r="J25" s="244">
        <f>IF(J4&gt;'Pro Forma Detail'!$C87,"",IF('helper data'!$C8="Yes",'helper data'!K9,SUM(J15:J24)))</f>
        <v>4024730.85</v>
      </c>
      <c r="K25" s="244">
        <f>IF(K4&gt;'Pro Forma Detail'!$C87,"",IF('helper data'!$C8="Yes",'helper data'!L9,SUM(K15:K24)))</f>
        <v>4097150.33</v>
      </c>
      <c r="L25" s="245">
        <f>IF(L4&gt;'Pro Forma Detail'!$C87,"",IF('helper data'!$C8="Yes",'helper data'!M9,SUM(L15:L24)))</f>
        <v>4171902.613</v>
      </c>
      <c r="M25" s="38"/>
    </row>
    <row r="26" ht="14.25" customHeight="1">
      <c r="A26" s="38"/>
      <c r="B26" s="234"/>
      <c r="C26" s="38"/>
      <c r="D26" s="38"/>
      <c r="E26" s="38"/>
      <c r="F26" s="38"/>
      <c r="G26" s="38"/>
      <c r="H26" s="38"/>
      <c r="I26" s="38"/>
      <c r="J26" s="38"/>
      <c r="K26" s="38"/>
      <c r="L26" s="235"/>
      <c r="M26" s="38"/>
    </row>
    <row r="27" ht="14.25" customHeight="1">
      <c r="A27" s="38"/>
      <c r="B27" s="246" t="s">
        <v>43</v>
      </c>
      <c r="C27" s="247">
        <f>IF(C4&gt;'Pro Forma Detail'!$C87,"",C12-C25)</f>
        <v>10714746.96</v>
      </c>
      <c r="D27" s="247">
        <f>IF(D4&gt;'Pro Forma Detail'!$C87,"",D12-D25)</f>
        <v>11370634.31</v>
      </c>
      <c r="E27" s="247">
        <f>IF(E4&gt;'Pro Forma Detail'!$C87,"",E12-E25)</f>
        <v>12060517.52</v>
      </c>
      <c r="F27" s="247">
        <f>IF(F4&gt;'Pro Forma Detail'!$C87,"",F12-F25)</f>
        <v>12786108.41</v>
      </c>
      <c r="G27" s="247">
        <f>IF(G4&gt;'Pro Forma Detail'!$C87,"",G12-G25)</f>
        <v>13549204.5</v>
      </c>
      <c r="H27" s="247">
        <f>IF(H4&gt;'Pro Forma Detail'!$C87,"",H12-H25)</f>
        <v>14351693.3</v>
      </c>
      <c r="I27" s="247">
        <f>IF(I4&gt;'Pro Forma Detail'!$C87,"",I12-I25)</f>
        <v>15195556.82</v>
      </c>
      <c r="J27" s="247">
        <f>IF(J4&gt;'Pro Forma Detail'!$C87,"",J12-J25)</f>
        <v>16082876.31</v>
      </c>
      <c r="K27" s="247">
        <f>IF(K4&gt;'Pro Forma Detail'!$C87,"",K12-K25)</f>
        <v>17015837.18</v>
      </c>
      <c r="L27" s="248">
        <f>IF(L4&gt;'Pro Forma Detail'!$C87,"",L12-L25)</f>
        <v>17996734.28</v>
      </c>
      <c r="M27" s="38"/>
    </row>
    <row r="28" ht="14.25" customHeight="1">
      <c r="A28" s="38"/>
      <c r="B28" s="234"/>
      <c r="C28" s="38"/>
      <c r="D28" s="38"/>
      <c r="E28" s="38"/>
      <c r="F28" s="38"/>
      <c r="G28" s="38"/>
      <c r="H28" s="38"/>
      <c r="I28" s="38"/>
      <c r="J28" s="38"/>
      <c r="K28" s="38"/>
      <c r="L28" s="235"/>
      <c r="M28" s="38"/>
    </row>
    <row r="29" ht="14.25" customHeight="1">
      <c r="A29" s="38"/>
      <c r="B29" s="43" t="s">
        <v>176</v>
      </c>
      <c r="C29" s="236"/>
      <c r="D29" s="236"/>
      <c r="E29" s="236"/>
      <c r="F29" s="236"/>
      <c r="G29" s="236"/>
      <c r="H29" s="236"/>
      <c r="I29" s="236"/>
      <c r="J29" s="236"/>
      <c r="K29" s="236"/>
      <c r="L29" s="237"/>
      <c r="M29" s="38"/>
    </row>
    <row r="30" ht="14.25" customHeight="1">
      <c r="A30" s="38"/>
      <c r="B30" s="234" t="s">
        <v>32</v>
      </c>
      <c r="C30" s="102">
        <f>IF(C4&gt;'Pro Forma Detail'!$C87,"",'Pro Forma Detail'!E39)</f>
        <v>-262500</v>
      </c>
      <c r="D30" s="102">
        <f>IF(D4&gt;'Pro Forma Detail'!$C87,"",'Pro Forma Detail'!F39)</f>
        <v>-262500</v>
      </c>
      <c r="E30" s="102">
        <f>IF(E4&gt;'Pro Forma Detail'!$C87,"",'Pro Forma Detail'!G39)</f>
        <v>-262500</v>
      </c>
      <c r="F30" s="102">
        <f>IF(F4&gt;'Pro Forma Detail'!$C87,"",'Pro Forma Detail'!H39)</f>
        <v>-262500</v>
      </c>
      <c r="G30" s="102">
        <f>IF(G4&gt;'Pro Forma Detail'!$C87,"",'Pro Forma Detail'!I39)</f>
        <v>-262500</v>
      </c>
      <c r="H30" s="102">
        <f>IF(H4&gt;'Pro Forma Detail'!$C87,"",'Pro Forma Detail'!J39)</f>
        <v>-262500</v>
      </c>
      <c r="I30" s="102">
        <f>IF(I4&gt;'Pro Forma Detail'!$C87,"",'Pro Forma Detail'!K39)</f>
        <v>-262500</v>
      </c>
      <c r="J30" s="102">
        <f>IF(J4&gt;'Pro Forma Detail'!$C87,"",'Pro Forma Detail'!L39)</f>
        <v>-262500</v>
      </c>
      <c r="K30" s="102">
        <f>IF(K4&gt;'Pro Forma Detail'!$C87,"",'Pro Forma Detail'!M39)</f>
        <v>-262500</v>
      </c>
      <c r="L30" s="227">
        <f>IF(L4&gt;'Pro Forma Detail'!$C87,"",'Pro Forma Detail'!N39)</f>
        <v>-262500</v>
      </c>
      <c r="M30" s="38"/>
    </row>
    <row r="31" ht="14.25" customHeight="1">
      <c r="A31" s="38"/>
      <c r="B31" s="234" t="s">
        <v>177</v>
      </c>
      <c r="C31" s="102">
        <f>IF(C4&gt;'Pro Forma Detail'!$C87,"",-'Pro Forma Detail'!E35-'Pro Forma Detail'!E36)</f>
        <v>-7593285.967</v>
      </c>
      <c r="D31" s="102">
        <f>IF(D4&gt;'Pro Forma Detail'!$C87,"",-'Pro Forma Detail'!F35-'Pro Forma Detail'!F36)</f>
        <v>-7593285.967</v>
      </c>
      <c r="E31" s="102">
        <f>IF(E4&gt;'Pro Forma Detail'!$C87,"",-'Pro Forma Detail'!G35-'Pro Forma Detail'!G36)</f>
        <v>-7593285.967</v>
      </c>
      <c r="F31" s="102">
        <f>IF(F4&gt;'Pro Forma Detail'!$C87,"",-'Pro Forma Detail'!H35-'Pro Forma Detail'!H36)</f>
        <v>-6975806.787</v>
      </c>
      <c r="G31" s="102">
        <f>IF(G4&gt;'Pro Forma Detail'!$C87,"",-'Pro Forma Detail'!I35-'Pro Forma Detail'!I36)</f>
        <v>-5872292.999</v>
      </c>
      <c r="H31" s="102">
        <f>IF(H4&gt;'Pro Forma Detail'!$C87,"",-'Pro Forma Detail'!J35-'Pro Forma Detail'!J36)</f>
        <v>-5872292.999</v>
      </c>
      <c r="I31" s="102">
        <f>IF(I4&gt;'Pro Forma Detail'!$C87,"",-'Pro Forma Detail'!K35-'Pro Forma Detail'!K36)</f>
        <v>-5872292.999</v>
      </c>
      <c r="J31" s="102">
        <f>IF(J4&gt;'Pro Forma Detail'!$C87,"",-'Pro Forma Detail'!L35-'Pro Forma Detail'!L36)</f>
        <v>-5872292.999</v>
      </c>
      <c r="K31" s="102">
        <f>IF(K4&gt;'Pro Forma Detail'!$C87,"",-'Pro Forma Detail'!M35-'Pro Forma Detail'!M36)</f>
        <v>-5872292.999</v>
      </c>
      <c r="L31" s="227">
        <f>IF(L4&gt;'Pro Forma Detail'!$C87,"",-'Pro Forma Detail'!N35-'Pro Forma Detail'!N36)</f>
        <v>-5872292.999</v>
      </c>
      <c r="M31" s="38"/>
    </row>
    <row r="32" ht="14.25" customHeight="1">
      <c r="A32" s="38"/>
      <c r="B32" s="234" t="s">
        <v>178</v>
      </c>
      <c r="C32" s="102">
        <f>IF(C4&gt;'Pro Forma Detail'!$C87,"",'Pro Forma Detail'!E65)</f>
        <v>0</v>
      </c>
      <c r="D32" s="102">
        <f>IF(D4&gt;'Pro Forma Detail'!$C87,"",'Pro Forma Detail'!F65)</f>
        <v>0</v>
      </c>
      <c r="E32" s="102">
        <f>IF(E4&gt;'Pro Forma Detail'!$C87,"",'Pro Forma Detail'!G65)</f>
        <v>0</v>
      </c>
      <c r="F32" s="102">
        <f>IF(F4&gt;'Pro Forma Detail'!$C87,"",'Pro Forma Detail'!H65)</f>
        <v>-24121497.82</v>
      </c>
      <c r="G32" s="102">
        <f>IF(G4&gt;'Pro Forma Detail'!$C87,"",'Pro Forma Detail'!I65)</f>
        <v>0</v>
      </c>
      <c r="H32" s="102">
        <f>IF(H4&gt;'Pro Forma Detail'!$C87,"",'Pro Forma Detail'!J65)</f>
        <v>0</v>
      </c>
      <c r="I32" s="102">
        <f>IF(I4&gt;'Pro Forma Detail'!$C87,"",'Pro Forma Detail'!K65)</f>
        <v>0</v>
      </c>
      <c r="J32" s="102">
        <f>IF(J4&gt;'Pro Forma Detail'!$C87,"",'Pro Forma Detail'!L65)</f>
        <v>0</v>
      </c>
      <c r="K32" s="102">
        <f>IF(K4&gt;'Pro Forma Detail'!$C87,"",'Pro Forma Detail'!M65)</f>
        <v>0</v>
      </c>
      <c r="L32" s="227">
        <f>IF(L4&gt;'Pro Forma Detail'!$C87,"",'Pro Forma Detail'!N65)</f>
        <v>0</v>
      </c>
      <c r="M32" s="38"/>
    </row>
    <row r="33" ht="14.25" customHeight="1">
      <c r="A33" s="38"/>
      <c r="B33" s="249" t="s">
        <v>179</v>
      </c>
      <c r="C33" s="250">
        <f>IF(C4&gt;'Pro Forma Detail'!$C87,"",IF(C4='Pro Forma Detail'!$C87,'Pro Forma Detail'!E79,0))</f>
        <v>0</v>
      </c>
      <c r="D33" s="250">
        <f>IF(D4&gt;'Pro Forma Detail'!$C87,"",IF(D4='Pro Forma Detail'!$C87,'Pro Forma Detail'!F79,0))</f>
        <v>0</v>
      </c>
      <c r="E33" s="250">
        <f>IF(E4&gt;'Pro Forma Detail'!$C87,"",IF(E4='Pro Forma Detail'!$C87,'Pro Forma Detail'!G79,0))</f>
        <v>0</v>
      </c>
      <c r="F33" s="250">
        <f>IF(F4&gt;'Pro Forma Detail'!$C87,"",IF(F4='Pro Forma Detail'!$C87,'Pro Forma Detail'!H79,0))</f>
        <v>0</v>
      </c>
      <c r="G33" s="250">
        <f>IF(G4&gt;'Pro Forma Detail'!$C87,"",IF(G4='Pro Forma Detail'!$C87,'Pro Forma Detail'!I79,0))</f>
        <v>0</v>
      </c>
      <c r="H33" s="250">
        <f>IF(H4&gt;'Pro Forma Detail'!$C87,"",IF(H4='Pro Forma Detail'!$C87,'Pro Forma Detail'!J79,0))</f>
        <v>0</v>
      </c>
      <c r="I33" s="250">
        <f>IF(I4&gt;'Pro Forma Detail'!$C87,"",IF(I4='Pro Forma Detail'!$C87,'Pro Forma Detail'!K79,0))</f>
        <v>0</v>
      </c>
      <c r="J33" s="250">
        <f>IF(J4&gt;'Pro Forma Detail'!$C87,"",IF(J4='Pro Forma Detail'!$C87,'Pro Forma Detail'!L79,0))</f>
        <v>0</v>
      </c>
      <c r="K33" s="250">
        <f>IF(K4&gt;'Pro Forma Detail'!$C87,"",IF(K4='Pro Forma Detail'!$C87,'Pro Forma Detail'!M79,0))</f>
        <v>0</v>
      </c>
      <c r="L33" s="251">
        <f>IF(L4&gt;'Pro Forma Detail'!$C87,"",IF(L4='Pro Forma Detail'!$C87,'Pro Forma Detail'!N79,0))</f>
        <v>113924510.3</v>
      </c>
      <c r="M33" s="38"/>
    </row>
    <row r="34" ht="14.25" customHeight="1">
      <c r="A34" s="38"/>
      <c r="B34" s="252" t="s">
        <v>180</v>
      </c>
      <c r="C34" s="253">
        <f>IF(C4&gt;'Pro Forma Detail'!$C87,"",SUM(C30:C33))</f>
        <v>-7855785.967</v>
      </c>
      <c r="D34" s="253">
        <f>IF(D4&gt;'Pro Forma Detail'!$C87,"",SUM(D30:D33))</f>
        <v>-7855785.967</v>
      </c>
      <c r="E34" s="253">
        <f>IF(E4&gt;'Pro Forma Detail'!$C87,"",SUM(E30:E33))</f>
        <v>-7855785.967</v>
      </c>
      <c r="F34" s="253">
        <f>IF(F4&gt;'Pro Forma Detail'!$C87,"",SUM(F30:F33))</f>
        <v>-31359804.61</v>
      </c>
      <c r="G34" s="253">
        <f>IF(G4&gt;'Pro Forma Detail'!$C87,"",SUM(G30:G33))</f>
        <v>-6134792.999</v>
      </c>
      <c r="H34" s="253">
        <f>IF(H4&gt;'Pro Forma Detail'!$C87,"",SUM(H30:H33))</f>
        <v>-6134792.999</v>
      </c>
      <c r="I34" s="253">
        <f>IF(I4&gt;'Pro Forma Detail'!$C87,"",SUM(I30:I33))</f>
        <v>-6134792.999</v>
      </c>
      <c r="J34" s="253">
        <f>IF(J4&gt;'Pro Forma Detail'!$C87,"",SUM(J30:J33))</f>
        <v>-6134792.999</v>
      </c>
      <c r="K34" s="253">
        <f>IF(K4&gt;'Pro Forma Detail'!$C87,"",SUM(K30:K33))</f>
        <v>-6134792.999</v>
      </c>
      <c r="L34" s="254">
        <f>IF(L4&gt;'Pro Forma Detail'!$C87,"",SUM(L30:L33))</f>
        <v>107789717.3</v>
      </c>
      <c r="M34" s="38"/>
    </row>
    <row r="35" ht="14.25" customHeight="1">
      <c r="A35" s="38"/>
      <c r="B35" s="234"/>
      <c r="C35" s="102"/>
      <c r="D35" s="102"/>
      <c r="E35" s="102"/>
      <c r="F35" s="102"/>
      <c r="G35" s="102"/>
      <c r="H35" s="102"/>
      <c r="I35" s="102"/>
      <c r="J35" s="102"/>
      <c r="K35" s="102"/>
      <c r="L35" s="251"/>
      <c r="M35" s="38"/>
    </row>
    <row r="36" ht="14.25" customHeight="1">
      <c r="A36" s="38"/>
      <c r="B36" s="246" t="s">
        <v>181</v>
      </c>
      <c r="C36" s="247">
        <f>IF(C4&gt;'Pro Forma Detail'!$C87,"",C27+C34)</f>
        <v>2858960.993</v>
      </c>
      <c r="D36" s="247">
        <f>IF(D4&gt;'Pro Forma Detail'!$C87,"",D27+D34)</f>
        <v>3514848.341</v>
      </c>
      <c r="E36" s="247">
        <f>IF(E4&gt;'Pro Forma Detail'!$C87,"",E27+E34)</f>
        <v>4204731.557</v>
      </c>
      <c r="F36" s="247">
        <f>IF(F4&gt;'Pro Forma Detail'!$C87,"",F27+F34)</f>
        <v>-18573696.2</v>
      </c>
      <c r="G36" s="247">
        <f>IF(G4&gt;'Pro Forma Detail'!$C87,"",G27+G34)</f>
        <v>7414411.501</v>
      </c>
      <c r="H36" s="247">
        <f>IF(H4&gt;'Pro Forma Detail'!$C87,"",H27+H34)</f>
        <v>8216900.298</v>
      </c>
      <c r="I36" s="247">
        <f>IF(I4&gt;'Pro Forma Detail'!$C87,"",I27+I34)</f>
        <v>9060763.82</v>
      </c>
      <c r="J36" s="247">
        <f>IF(J4&gt;'Pro Forma Detail'!$C87,"",J27+J34)</f>
        <v>9948083.307</v>
      </c>
      <c r="K36" s="247">
        <f>IF(K4&gt;'Pro Forma Detail'!$C87,"",K27+K34)</f>
        <v>10881044.19</v>
      </c>
      <c r="L36" s="248">
        <f>IF(L4&gt;'Pro Forma Detail'!$C87,"",L27+L34)</f>
        <v>125786451.6</v>
      </c>
      <c r="M36" s="38"/>
    </row>
    <row r="37" ht="14.25" customHeight="1">
      <c r="A37" s="38"/>
      <c r="B37" s="38"/>
      <c r="C37" s="102"/>
      <c r="D37" s="102"/>
      <c r="E37" s="102"/>
      <c r="F37" s="102"/>
      <c r="G37" s="102"/>
      <c r="H37" s="102"/>
      <c r="I37" s="102"/>
      <c r="J37" s="102"/>
      <c r="K37" s="102"/>
      <c r="L37" s="102"/>
      <c r="M37" s="38"/>
    </row>
    <row r="38" ht="14.25" customHeight="1">
      <c r="A38" s="38"/>
      <c r="B38" s="38" t="s">
        <v>182</v>
      </c>
      <c r="C38" s="102">
        <f>IF(C4&gt;'Pro Forma Detail'!$C87,"",'Pro Forma Detail'!E93)</f>
        <v>2830371.383</v>
      </c>
      <c r="D38" s="102">
        <f>IF(D4&gt;'Pro Forma Detail'!$C87,"",'Pro Forma Detail'!F93)</f>
        <v>3479699.858</v>
      </c>
      <c r="E38" s="102">
        <f>IF(E4&gt;'Pro Forma Detail'!$C87,"",'Pro Forma Detail'!G93)</f>
        <v>4162684.241</v>
      </c>
      <c r="F38" s="102">
        <f>IF(F4&gt;'Pro Forma Detail'!$C87,"",'Pro Forma Detail'!H93)</f>
        <v>-18387959.23</v>
      </c>
      <c r="G38" s="102">
        <f>IF(G4&gt;'Pro Forma Detail'!$C87,"",'Pro Forma Detail'!I93)</f>
        <v>7340267.386</v>
      </c>
      <c r="H38" s="102">
        <f>IF(H4&gt;'Pro Forma Detail'!$C87,"",'Pro Forma Detail'!J93)</f>
        <v>8134731.295</v>
      </c>
      <c r="I38" s="102">
        <f>IF(I4&gt;'Pro Forma Detail'!$C87,"",'Pro Forma Detail'!K93)</f>
        <v>8970156.182</v>
      </c>
      <c r="J38" s="102">
        <f>IF(J4&gt;'Pro Forma Detail'!$C87,"",'Pro Forma Detail'!L93)</f>
        <v>9848602.474</v>
      </c>
      <c r="K38" s="102">
        <f>IF(K4&gt;'Pro Forma Detail'!$C87,"",'Pro Forma Detail'!M93)</f>
        <v>10772233.74</v>
      </c>
      <c r="L38" s="102">
        <f>IF(L4&gt;'Pro Forma Detail'!$C87,"",'Pro Forma Detail'!N93)</f>
        <v>106495573.6</v>
      </c>
      <c r="M38" s="38"/>
    </row>
    <row r="39" ht="14.25" customHeight="1">
      <c r="A39" s="38"/>
      <c r="B39" s="38" t="s">
        <v>183</v>
      </c>
      <c r="C39" s="102">
        <f>IF(C4&gt;'Pro Forma Detail'!$C87,"",'Pro Forma Detail'!E96)</f>
        <v>28589.60993</v>
      </c>
      <c r="D39" s="102">
        <f>IF(D4&gt;'Pro Forma Detail'!$C87,"",'Pro Forma Detail'!F96)</f>
        <v>35148.48341</v>
      </c>
      <c r="E39" s="102">
        <f>IF(E4&gt;'Pro Forma Detail'!$C87,"",'Pro Forma Detail'!G96)</f>
        <v>42047.31557</v>
      </c>
      <c r="F39" s="102">
        <f>IF(F4&gt;'Pro Forma Detail'!$C87,"",'Pro Forma Detail'!H96)</f>
        <v>-185736.962</v>
      </c>
      <c r="G39" s="102">
        <f>IF(G4&gt;'Pro Forma Detail'!$C87,"",'Pro Forma Detail'!I96)</f>
        <v>74144.11501</v>
      </c>
      <c r="H39" s="102">
        <f>IF(H4&gt;'Pro Forma Detail'!$C87,"",'Pro Forma Detail'!J96)</f>
        <v>82169.00298</v>
      </c>
      <c r="I39" s="102">
        <f>IF(I4&gt;'Pro Forma Detail'!$C87,"",'Pro Forma Detail'!K96)</f>
        <v>90607.6382</v>
      </c>
      <c r="J39" s="102">
        <f>IF(J4&gt;'Pro Forma Detail'!$C87,"",'Pro Forma Detail'!L96)</f>
        <v>99480.83307</v>
      </c>
      <c r="K39" s="102">
        <f>IF(K4&gt;'Pro Forma Detail'!$C87,"",'Pro Forma Detail'!M96)</f>
        <v>108810.4419</v>
      </c>
      <c r="L39" s="102">
        <f>IF(L4&gt;'Pro Forma Detail'!$C87,"",'Pro Forma Detail'!N96)</f>
        <v>19290878.04</v>
      </c>
      <c r="M39" s="38"/>
    </row>
    <row r="40" ht="14.25" customHeight="1">
      <c r="A40" s="38"/>
      <c r="B40" s="38"/>
      <c r="C40" s="102"/>
      <c r="D40" s="102"/>
      <c r="E40" s="102"/>
      <c r="F40" s="102"/>
      <c r="G40" s="102"/>
      <c r="H40" s="102"/>
      <c r="I40" s="102"/>
      <c r="J40" s="102"/>
      <c r="K40" s="102"/>
      <c r="L40" s="102"/>
      <c r="M40" s="38"/>
    </row>
    <row r="41" ht="14.25" customHeight="1">
      <c r="A41" s="38"/>
      <c r="B41" s="38"/>
      <c r="C41" s="102"/>
      <c r="D41" s="102"/>
      <c r="E41" s="102"/>
      <c r="F41" s="102"/>
      <c r="G41" s="102"/>
      <c r="H41" s="102"/>
      <c r="I41" s="102"/>
      <c r="J41" s="102"/>
      <c r="K41" s="102"/>
      <c r="L41" s="102"/>
      <c r="M41" s="38"/>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fitToHeight="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showGridLines="0" workbookViewId="0">
      <pane ySplit="13.0" topLeftCell="A14" activePane="bottomLeft" state="frozen"/>
      <selection activeCell="B15" sqref="B15" pane="bottomLeft"/>
    </sheetView>
  </sheetViews>
  <sheetFormatPr customHeight="1" defaultColWidth="12.63" defaultRowHeight="15.0"/>
  <cols>
    <col customWidth="1" min="1" max="1" width="3.63"/>
    <col customWidth="1" min="2" max="2" width="24.88"/>
    <col customWidth="1" min="3" max="3" width="11.75"/>
    <col customWidth="1" min="4" max="4" width="12.63"/>
    <col customWidth="1" min="5" max="6" width="11.75"/>
    <col customWidth="1" min="7" max="7" width="12.38"/>
    <col customWidth="1" min="8" max="14" width="11.75"/>
    <col customWidth="1" min="15" max="15" width="11.63"/>
    <col customWidth="1" min="16" max="16" width="8.75"/>
    <col customWidth="1" min="17" max="26" width="14.38"/>
  </cols>
  <sheetData>
    <row r="1" ht="3.75" customHeight="1">
      <c r="A1" s="1"/>
      <c r="B1" s="1"/>
      <c r="C1" s="1"/>
      <c r="D1" s="1"/>
      <c r="E1" s="1"/>
      <c r="F1" s="1"/>
      <c r="G1" s="1"/>
      <c r="H1" s="1"/>
      <c r="I1" s="1"/>
      <c r="J1" s="1"/>
      <c r="K1" s="1"/>
      <c r="L1" s="1"/>
      <c r="M1" s="1"/>
      <c r="N1" s="1"/>
      <c r="O1" s="1"/>
      <c r="P1" s="1"/>
    </row>
    <row r="2" ht="20.25" customHeight="1">
      <c r="A2" s="1"/>
      <c r="B2" s="255" t="s">
        <v>184</v>
      </c>
      <c r="C2" s="256"/>
      <c r="D2" s="256"/>
      <c r="E2" s="256"/>
      <c r="F2" s="256"/>
      <c r="G2" s="256"/>
      <c r="H2" s="256"/>
      <c r="I2" s="256"/>
      <c r="J2" s="256"/>
      <c r="K2" s="256"/>
      <c r="L2" s="256"/>
      <c r="M2" s="256"/>
      <c r="N2" s="256"/>
      <c r="O2" s="256"/>
      <c r="P2" s="1"/>
    </row>
    <row r="3" ht="3.0" customHeight="1">
      <c r="A3" s="1"/>
      <c r="B3" s="1"/>
      <c r="C3" s="1"/>
      <c r="D3" s="1"/>
      <c r="E3" s="1"/>
      <c r="F3" s="1"/>
      <c r="G3" s="1"/>
      <c r="H3" s="1"/>
      <c r="I3" s="1"/>
      <c r="J3" s="1"/>
      <c r="K3" s="1"/>
      <c r="L3" s="1"/>
      <c r="M3" s="1"/>
      <c r="N3" s="1"/>
      <c r="O3" s="1"/>
      <c r="P3" s="1"/>
    </row>
    <row r="4" ht="12.75" customHeight="1">
      <c r="A4" s="1"/>
      <c r="B4" s="183" t="s">
        <v>185</v>
      </c>
      <c r="C4" s="183"/>
      <c r="D4" s="257" t="s">
        <v>186</v>
      </c>
      <c r="E4" s="257" t="s">
        <v>187</v>
      </c>
      <c r="F4" s="257" t="s">
        <v>188</v>
      </c>
      <c r="G4" s="257" t="s">
        <v>189</v>
      </c>
      <c r="H4" s="1"/>
      <c r="I4" s="258"/>
      <c r="J4" s="258"/>
      <c r="K4" s="258"/>
      <c r="L4" s="1"/>
      <c r="M4" s="1"/>
      <c r="N4" s="1"/>
      <c r="O4" s="1"/>
      <c r="P4" s="1"/>
    </row>
    <row r="5" ht="12.75" customHeight="1">
      <c r="A5" s="1"/>
      <c r="B5" s="259" t="s">
        <v>190</v>
      </c>
      <c r="C5" s="260"/>
      <c r="D5" s="261">
        <v>0.07</v>
      </c>
      <c r="E5" s="262">
        <f>'Global Inputs'!B39</f>
        <v>0.99</v>
      </c>
      <c r="F5" s="263">
        <f t="shared" ref="F5:F8" si="1">1-E5</f>
        <v>0.01</v>
      </c>
      <c r="G5" s="264"/>
      <c r="H5" s="218"/>
      <c r="I5" s="265"/>
      <c r="J5" s="218"/>
      <c r="K5" s="218"/>
      <c r="L5" s="218"/>
      <c r="M5" s="1"/>
      <c r="N5" s="1"/>
      <c r="O5" s="1"/>
      <c r="P5" s="1"/>
    </row>
    <row r="6" ht="12.75" customHeight="1">
      <c r="A6" s="1"/>
      <c r="B6" s="266" t="s">
        <v>191</v>
      </c>
      <c r="C6" s="1"/>
      <c r="D6" s="267">
        <v>0.12</v>
      </c>
      <c r="E6" s="268">
        <v>0.7</v>
      </c>
      <c r="F6" s="218">
        <f t="shared" si="1"/>
        <v>0.3</v>
      </c>
      <c r="G6" s="269">
        <f t="shared" ref="G6:G8" si="2">1-E6/E$5</f>
        <v>0.2929292929</v>
      </c>
      <c r="H6" s="218"/>
      <c r="I6" s="265"/>
      <c r="J6" s="176"/>
      <c r="K6" s="270"/>
      <c r="L6" s="218"/>
      <c r="M6" s="1"/>
      <c r="N6" s="1"/>
      <c r="O6" s="1"/>
      <c r="P6" s="1"/>
    </row>
    <row r="7" ht="12.75" customHeight="1">
      <c r="A7" s="1"/>
      <c r="B7" s="266" t="s">
        <v>192</v>
      </c>
      <c r="C7" s="1"/>
      <c r="D7" s="267">
        <v>0.15</v>
      </c>
      <c r="E7" s="268">
        <v>0.6</v>
      </c>
      <c r="F7" s="218">
        <f t="shared" si="1"/>
        <v>0.4</v>
      </c>
      <c r="G7" s="269">
        <f t="shared" si="2"/>
        <v>0.3939393939</v>
      </c>
      <c r="H7" s="218"/>
      <c r="I7" s="265"/>
      <c r="J7" s="218"/>
      <c r="K7" s="270"/>
      <c r="L7" s="218"/>
      <c r="M7" s="1"/>
      <c r="N7" s="1"/>
      <c r="O7" s="1"/>
      <c r="P7" s="1"/>
    </row>
    <row r="8" ht="12.75" customHeight="1">
      <c r="A8" s="1"/>
      <c r="B8" s="271" t="s">
        <v>193</v>
      </c>
      <c r="C8" s="272"/>
      <c r="D8" s="273"/>
      <c r="E8" s="274">
        <v>0.5</v>
      </c>
      <c r="F8" s="275">
        <f t="shared" si="1"/>
        <v>0.5</v>
      </c>
      <c r="G8" s="276">
        <f t="shared" si="2"/>
        <v>0.4949494949</v>
      </c>
      <c r="H8" s="218"/>
      <c r="I8" s="265"/>
      <c r="J8" s="218"/>
      <c r="K8" s="270"/>
      <c r="L8" s="218"/>
      <c r="M8" s="1"/>
      <c r="N8" s="1"/>
      <c r="O8" s="1"/>
      <c r="P8" s="1"/>
    </row>
    <row r="9" ht="7.5" customHeight="1">
      <c r="A9" s="1"/>
      <c r="B9" s="1"/>
      <c r="C9" s="1"/>
      <c r="D9" s="1"/>
      <c r="E9" s="1"/>
      <c r="F9" s="1"/>
      <c r="G9" s="1"/>
      <c r="H9" s="1"/>
      <c r="I9" s="1"/>
      <c r="J9" s="1"/>
      <c r="K9" s="1"/>
      <c r="L9" s="1"/>
      <c r="M9" s="1"/>
      <c r="N9" s="1"/>
      <c r="O9" s="1"/>
      <c r="P9" s="1"/>
    </row>
    <row r="10" ht="12.75" customHeight="1">
      <c r="A10" s="1"/>
      <c r="B10" s="277"/>
      <c r="C10" s="272"/>
      <c r="D10" s="278" t="s">
        <v>194</v>
      </c>
      <c r="E10" s="279">
        <v>0.0</v>
      </c>
      <c r="F10" s="279">
        <v>1.0</v>
      </c>
      <c r="G10" s="279">
        <v>2.0</v>
      </c>
      <c r="H10" s="279">
        <v>3.0</v>
      </c>
      <c r="I10" s="279">
        <v>4.0</v>
      </c>
      <c r="J10" s="279">
        <v>5.0</v>
      </c>
      <c r="K10" s="279">
        <v>6.0</v>
      </c>
      <c r="L10" s="279">
        <v>7.0</v>
      </c>
      <c r="M10" s="279">
        <v>8.0</v>
      </c>
      <c r="N10" s="279">
        <v>9.0</v>
      </c>
      <c r="O10" s="279">
        <v>10.0</v>
      </c>
      <c r="P10" s="1"/>
    </row>
    <row r="11" ht="12.75" customHeight="1">
      <c r="A11" s="1"/>
      <c r="B11" s="1" t="s">
        <v>195</v>
      </c>
      <c r="C11" s="1"/>
      <c r="D11" s="280">
        <f t="shared" ref="D11:D12" si="3">SUM(E11:O11)</f>
        <v>-55450000</v>
      </c>
      <c r="E11" s="281">
        <f>'Global Inputs'!C39+'Global Inputs'!C40</f>
        <v>-55450000</v>
      </c>
      <c r="F11" s="282">
        <v>0.0</v>
      </c>
      <c r="G11" s="282">
        <v>0.0</v>
      </c>
      <c r="H11" s="282">
        <v>0.0</v>
      </c>
      <c r="I11" s="282">
        <v>0.0</v>
      </c>
      <c r="J11" s="282">
        <v>0.0</v>
      </c>
      <c r="K11" s="282">
        <v>0.0</v>
      </c>
      <c r="L11" s="282">
        <v>0.0</v>
      </c>
      <c r="M11" s="282">
        <v>0.0</v>
      </c>
      <c r="N11" s="282">
        <v>0.0</v>
      </c>
      <c r="O11" s="282">
        <v>0.0</v>
      </c>
      <c r="P11" s="1"/>
    </row>
    <row r="12" ht="12.75" customHeight="1">
      <c r="A12" s="1"/>
      <c r="B12" s="1" t="s">
        <v>196</v>
      </c>
      <c r="C12" s="1"/>
      <c r="D12" s="283">
        <f t="shared" si="3"/>
        <v>163312499.4</v>
      </c>
      <c r="E12" s="281"/>
      <c r="F12" s="281">
        <f>IF(F10&gt;'Pro Forma Detail'!$C87,0,'Pro Forma Detail'!E40+'Pro Forma Detail'!E65+IF('Pro Forma Detail'!E3='Pro Forma Detail'!$C87,'Pro Forma Detail'!E79,0))</f>
        <v>2858960.993</v>
      </c>
      <c r="G12" s="281">
        <f>IF(G10&gt;'Pro Forma Detail'!$C87,0,'Pro Forma Detail'!F40+'Pro Forma Detail'!F65+IF('Pro Forma Detail'!F3='Pro Forma Detail'!$C87,'Pro Forma Detail'!F79,0))</f>
        <v>3514848.341</v>
      </c>
      <c r="H12" s="281">
        <f>IF(H10&gt;'Pro Forma Detail'!$C87,0,'Pro Forma Detail'!G40+'Pro Forma Detail'!G65+IF('Pro Forma Detail'!G3='Pro Forma Detail'!$C87,'Pro Forma Detail'!G79,0))</f>
        <v>4204731.557</v>
      </c>
      <c r="I12" s="281">
        <f>IF(I10&gt;'Pro Forma Detail'!$C87,0,'Pro Forma Detail'!H40+'Pro Forma Detail'!H65+IF('Pro Forma Detail'!H3='Pro Forma Detail'!$C87,'Pro Forma Detail'!H79,0))</f>
        <v>-18573696.2</v>
      </c>
      <c r="J12" s="281">
        <f>IF(J10&gt;'Pro Forma Detail'!$C87,0,'Pro Forma Detail'!I40+'Pro Forma Detail'!I65+IF('Pro Forma Detail'!I3='Pro Forma Detail'!$C87,'Pro Forma Detail'!I79,0))</f>
        <v>7414411.501</v>
      </c>
      <c r="K12" s="281">
        <f>IF(K10&gt;'Pro Forma Detail'!$C87,0,'Pro Forma Detail'!J40+'Pro Forma Detail'!J65+IF('Pro Forma Detail'!J3='Pro Forma Detail'!$C87,'Pro Forma Detail'!J79,0))</f>
        <v>8216900.298</v>
      </c>
      <c r="L12" s="281">
        <f>IF(L10&gt;'Pro Forma Detail'!$C87,0,'Pro Forma Detail'!K40+'Pro Forma Detail'!K65+IF('Pro Forma Detail'!K3='Pro Forma Detail'!$C87,'Pro Forma Detail'!K79,0))</f>
        <v>9060763.82</v>
      </c>
      <c r="M12" s="281">
        <f>IF(M10&gt;'Pro Forma Detail'!$C87,0,'Pro Forma Detail'!L40+'Pro Forma Detail'!L65+IF('Pro Forma Detail'!L3='Pro Forma Detail'!$C87,'Pro Forma Detail'!L79,0))</f>
        <v>9948083.307</v>
      </c>
      <c r="N12" s="281">
        <f>IF(N10&gt;'Pro Forma Detail'!$C87,0,'Pro Forma Detail'!M40+'Pro Forma Detail'!M65+IF('Pro Forma Detail'!M3='Pro Forma Detail'!$C87,'Pro Forma Detail'!M79,0))</f>
        <v>10881044.19</v>
      </c>
      <c r="O12" s="281">
        <f>IF(O10&gt;'Pro Forma Detail'!$C87,0,'Pro Forma Detail'!N40+'Pro Forma Detail'!N65+IF('Pro Forma Detail'!N3='Pro Forma Detail'!$C87,'Pro Forma Detail'!N79,0))</f>
        <v>125786451.6</v>
      </c>
      <c r="P12" s="1"/>
    </row>
    <row r="13" ht="12.75" customHeight="1">
      <c r="A13" s="1"/>
      <c r="B13" s="284" t="s">
        <v>197</v>
      </c>
      <c r="C13" s="284"/>
      <c r="D13" s="285">
        <f t="shared" ref="D13:O13" si="4">SUM(D11:D12)</f>
        <v>107862499.4</v>
      </c>
      <c r="E13" s="286">
        <f t="shared" si="4"/>
        <v>-55450000</v>
      </c>
      <c r="F13" s="286">
        <f t="shared" si="4"/>
        <v>2858960.993</v>
      </c>
      <c r="G13" s="286">
        <f t="shared" si="4"/>
        <v>3514848.341</v>
      </c>
      <c r="H13" s="286">
        <f t="shared" si="4"/>
        <v>4204731.557</v>
      </c>
      <c r="I13" s="286">
        <f t="shared" si="4"/>
        <v>-18573696.2</v>
      </c>
      <c r="J13" s="286">
        <f t="shared" si="4"/>
        <v>7414411.501</v>
      </c>
      <c r="K13" s="286">
        <f t="shared" si="4"/>
        <v>8216900.298</v>
      </c>
      <c r="L13" s="286">
        <f t="shared" si="4"/>
        <v>9060763.82</v>
      </c>
      <c r="M13" s="286">
        <f t="shared" si="4"/>
        <v>9948083.307</v>
      </c>
      <c r="N13" s="286">
        <f t="shared" si="4"/>
        <v>10881044.19</v>
      </c>
      <c r="O13" s="286">
        <f t="shared" si="4"/>
        <v>125786451.6</v>
      </c>
      <c r="P13" s="1"/>
    </row>
    <row r="14" ht="12.75" customHeight="1">
      <c r="A14" s="1"/>
      <c r="B14" s="1"/>
      <c r="C14" s="287"/>
      <c r="D14" s="288"/>
      <c r="E14" s="289"/>
      <c r="F14" s="281"/>
      <c r="G14" s="281"/>
      <c r="H14" s="281"/>
      <c r="I14" s="281"/>
      <c r="J14" s="281"/>
      <c r="K14" s="289"/>
      <c r="L14" s="281"/>
      <c r="M14" s="281"/>
      <c r="N14" s="281"/>
      <c r="O14" s="281"/>
      <c r="P14" s="1"/>
    </row>
    <row r="15" ht="12.75" customHeight="1">
      <c r="A15" s="1"/>
      <c r="B15" s="290" t="s">
        <v>198</v>
      </c>
      <c r="C15" s="291"/>
      <c r="D15" s="292"/>
      <c r="E15" s="293"/>
      <c r="F15" s="294"/>
      <c r="G15" s="294"/>
      <c r="H15" s="294"/>
      <c r="I15" s="294"/>
      <c r="J15" s="294"/>
      <c r="K15" s="293"/>
      <c r="L15" s="294"/>
      <c r="M15" s="294"/>
      <c r="N15" s="294"/>
      <c r="O15" s="295"/>
      <c r="P15" s="1"/>
    </row>
    <row r="16" ht="12.75" customHeight="1">
      <c r="A16" s="1"/>
      <c r="B16" s="296" t="s">
        <v>199</v>
      </c>
      <c r="C16" s="287"/>
      <c r="D16" s="297"/>
      <c r="E16" s="289"/>
      <c r="F16" s="281"/>
      <c r="G16" s="281"/>
      <c r="H16" s="281"/>
      <c r="I16" s="281"/>
      <c r="J16" s="281"/>
      <c r="K16" s="289"/>
      <c r="L16" s="281"/>
      <c r="M16" s="281"/>
      <c r="N16" s="281"/>
      <c r="O16" s="298"/>
      <c r="P16" s="1"/>
    </row>
    <row r="17" ht="12.75" customHeight="1">
      <c r="A17" s="1"/>
      <c r="B17" s="266" t="s">
        <v>200</v>
      </c>
      <c r="C17" s="287"/>
      <c r="D17" s="297"/>
      <c r="E17" s="289"/>
      <c r="F17" s="281">
        <f t="shared" ref="F17:O17" si="5">E22</f>
        <v>-54895500</v>
      </c>
      <c r="G17" s="281">
        <f t="shared" si="5"/>
        <v>-55907813.62</v>
      </c>
      <c r="H17" s="281">
        <f t="shared" si="5"/>
        <v>-56341660.71</v>
      </c>
      <c r="I17" s="281">
        <f t="shared" si="5"/>
        <v>-56122892.72</v>
      </c>
      <c r="J17" s="281">
        <f t="shared" si="5"/>
        <v>-78439454.45</v>
      </c>
      <c r="K17" s="281">
        <f t="shared" si="5"/>
        <v>-76589948.87</v>
      </c>
      <c r="L17" s="281">
        <f t="shared" si="5"/>
        <v>-73816514</v>
      </c>
      <c r="M17" s="281">
        <f t="shared" si="5"/>
        <v>-70013513.79</v>
      </c>
      <c r="N17" s="281">
        <f t="shared" si="5"/>
        <v>-65065857.29</v>
      </c>
      <c r="O17" s="298">
        <f t="shared" si="5"/>
        <v>-58848233.55</v>
      </c>
      <c r="P17" s="1"/>
    </row>
    <row r="18" ht="12.75" customHeight="1">
      <c r="A18" s="1"/>
      <c r="B18" s="266" t="s">
        <v>201</v>
      </c>
      <c r="C18" s="299">
        <f>E5</f>
        <v>0.99</v>
      </c>
      <c r="D18" s="283">
        <f t="shared" ref="D18:D20" si="7">SUM(E18:O18)</f>
        <v>-54895500</v>
      </c>
      <c r="E18" s="300">
        <f t="shared" ref="E18:O18" si="6">$C18*E11</f>
        <v>-54895500</v>
      </c>
      <c r="F18" s="300">
        <f t="shared" si="6"/>
        <v>0</v>
      </c>
      <c r="G18" s="300">
        <f t="shared" si="6"/>
        <v>0</v>
      </c>
      <c r="H18" s="300">
        <f t="shared" si="6"/>
        <v>0</v>
      </c>
      <c r="I18" s="300">
        <f t="shared" si="6"/>
        <v>0</v>
      </c>
      <c r="J18" s="300">
        <f t="shared" si="6"/>
        <v>0</v>
      </c>
      <c r="K18" s="300">
        <f t="shared" si="6"/>
        <v>0</v>
      </c>
      <c r="L18" s="300">
        <f t="shared" si="6"/>
        <v>0</v>
      </c>
      <c r="M18" s="300">
        <f t="shared" si="6"/>
        <v>0</v>
      </c>
      <c r="N18" s="300">
        <f t="shared" si="6"/>
        <v>0</v>
      </c>
      <c r="O18" s="301">
        <f t="shared" si="6"/>
        <v>0</v>
      </c>
      <c r="P18" s="1"/>
    </row>
    <row r="19" ht="12.75" customHeight="1">
      <c r="A19" s="1"/>
      <c r="B19" s="266" t="s">
        <v>202</v>
      </c>
      <c r="C19" s="299">
        <f>D5</f>
        <v>0.07</v>
      </c>
      <c r="D19" s="283">
        <f t="shared" si="7"/>
        <v>-45222897.23</v>
      </c>
      <c r="E19" s="300">
        <f t="shared" ref="E19:O19" si="8">$C19*E17</f>
        <v>0</v>
      </c>
      <c r="F19" s="300">
        <f t="shared" si="8"/>
        <v>-3842685</v>
      </c>
      <c r="G19" s="300">
        <f t="shared" si="8"/>
        <v>-3913546.953</v>
      </c>
      <c r="H19" s="300">
        <f t="shared" si="8"/>
        <v>-3943916.25</v>
      </c>
      <c r="I19" s="300">
        <f t="shared" si="8"/>
        <v>-3928602.49</v>
      </c>
      <c r="J19" s="300">
        <f t="shared" si="8"/>
        <v>-5490761.811</v>
      </c>
      <c r="K19" s="300">
        <f t="shared" si="8"/>
        <v>-5361296.421</v>
      </c>
      <c r="L19" s="300">
        <f t="shared" si="8"/>
        <v>-5167155.98</v>
      </c>
      <c r="M19" s="300">
        <f t="shared" si="8"/>
        <v>-4900945.966</v>
      </c>
      <c r="N19" s="300">
        <f t="shared" si="8"/>
        <v>-4554610.01</v>
      </c>
      <c r="O19" s="301">
        <f t="shared" si="8"/>
        <v>-4119376.349</v>
      </c>
      <c r="P19" s="1"/>
    </row>
    <row r="20" ht="12.75" customHeight="1">
      <c r="A20" s="1"/>
      <c r="B20" s="266" t="s">
        <v>198</v>
      </c>
      <c r="C20" s="299">
        <f>E5</f>
        <v>0.99</v>
      </c>
      <c r="D20" s="283">
        <f t="shared" si="7"/>
        <v>100118397.2</v>
      </c>
      <c r="E20" s="300">
        <f t="shared" ref="E20:O20" si="9">MIN(E$12*$C20,-SUM(E17:E19))</f>
        <v>0</v>
      </c>
      <c r="F20" s="300">
        <f t="shared" si="9"/>
        <v>2830371.383</v>
      </c>
      <c r="G20" s="300">
        <f t="shared" si="9"/>
        <v>3479699.858</v>
      </c>
      <c r="H20" s="300">
        <f t="shared" si="9"/>
        <v>4162684.241</v>
      </c>
      <c r="I20" s="300">
        <f t="shared" si="9"/>
        <v>-18387959.23</v>
      </c>
      <c r="J20" s="300">
        <f t="shared" si="9"/>
        <v>7340267.386</v>
      </c>
      <c r="K20" s="300">
        <f t="shared" si="9"/>
        <v>8134731.295</v>
      </c>
      <c r="L20" s="300">
        <f t="shared" si="9"/>
        <v>8970156.182</v>
      </c>
      <c r="M20" s="300">
        <f t="shared" si="9"/>
        <v>9848602.474</v>
      </c>
      <c r="N20" s="300">
        <f t="shared" si="9"/>
        <v>10772233.74</v>
      </c>
      <c r="O20" s="301">
        <f t="shared" si="9"/>
        <v>62967609.9</v>
      </c>
      <c r="P20" s="1"/>
    </row>
    <row r="21" ht="12.75" customHeight="1">
      <c r="A21" s="1"/>
      <c r="B21" s="266"/>
      <c r="C21" s="287"/>
      <c r="D21" s="297"/>
      <c r="E21" s="289"/>
      <c r="F21" s="281"/>
      <c r="G21" s="281"/>
      <c r="H21" s="281"/>
      <c r="I21" s="281"/>
      <c r="J21" s="281"/>
      <c r="K21" s="289"/>
      <c r="L21" s="281"/>
      <c r="M21" s="281"/>
      <c r="N21" s="281"/>
      <c r="O21" s="298"/>
      <c r="P21" s="1"/>
    </row>
    <row r="22" ht="12.75" customHeight="1">
      <c r="A22" s="1"/>
      <c r="B22" s="302" t="s">
        <v>203</v>
      </c>
      <c r="C22" s="303"/>
      <c r="D22" s="304">
        <f>SUM(D18:D21)</f>
        <v>0</v>
      </c>
      <c r="E22" s="305">
        <f t="shared" ref="E22:O22" si="10">SUM(E17:E21)</f>
        <v>-54895500</v>
      </c>
      <c r="F22" s="305">
        <f t="shared" si="10"/>
        <v>-55907813.62</v>
      </c>
      <c r="G22" s="305">
        <f t="shared" si="10"/>
        <v>-56341660.71</v>
      </c>
      <c r="H22" s="305">
        <f t="shared" si="10"/>
        <v>-56122892.72</v>
      </c>
      <c r="I22" s="305">
        <f t="shared" si="10"/>
        <v>-78439454.45</v>
      </c>
      <c r="J22" s="305">
        <f t="shared" si="10"/>
        <v>-76589948.87</v>
      </c>
      <c r="K22" s="305">
        <f t="shared" si="10"/>
        <v>-73816514</v>
      </c>
      <c r="L22" s="305">
        <f t="shared" si="10"/>
        <v>-70013513.79</v>
      </c>
      <c r="M22" s="305">
        <f t="shared" si="10"/>
        <v>-65065857.29</v>
      </c>
      <c r="N22" s="305">
        <f t="shared" si="10"/>
        <v>-58848233.55</v>
      </c>
      <c r="O22" s="306">
        <f t="shared" si="10"/>
        <v>0</v>
      </c>
      <c r="P22" s="1"/>
    </row>
    <row r="23" ht="6.0" customHeight="1">
      <c r="A23" s="1"/>
      <c r="B23" s="266"/>
      <c r="C23" s="307"/>
      <c r="D23" s="297"/>
      <c r="E23" s="300"/>
      <c r="F23" s="300"/>
      <c r="G23" s="300"/>
      <c r="H23" s="300"/>
      <c r="I23" s="300"/>
      <c r="J23" s="300"/>
      <c r="K23" s="300"/>
      <c r="L23" s="300"/>
      <c r="M23" s="300"/>
      <c r="N23" s="300"/>
      <c r="O23" s="301"/>
      <c r="P23" s="1"/>
    </row>
    <row r="24" ht="12.75" customHeight="1">
      <c r="A24" s="1"/>
      <c r="B24" s="308" t="s">
        <v>204</v>
      </c>
      <c r="C24" s="309">
        <f>IRR(E24:O24)</f>
        <v>0.07</v>
      </c>
      <c r="D24" s="283">
        <f>SUM(E24:O24)</f>
        <v>45222897.23</v>
      </c>
      <c r="E24" s="310">
        <f t="shared" ref="E24:O24" si="11">SUM(E20,E18)</f>
        <v>-54895500</v>
      </c>
      <c r="F24" s="310">
        <f t="shared" si="11"/>
        <v>2830371.383</v>
      </c>
      <c r="G24" s="310">
        <f t="shared" si="11"/>
        <v>3479699.858</v>
      </c>
      <c r="H24" s="310">
        <f t="shared" si="11"/>
        <v>4162684.241</v>
      </c>
      <c r="I24" s="310">
        <f t="shared" si="11"/>
        <v>-18387959.23</v>
      </c>
      <c r="J24" s="310">
        <f t="shared" si="11"/>
        <v>7340267.386</v>
      </c>
      <c r="K24" s="310">
        <f t="shared" si="11"/>
        <v>8134731.295</v>
      </c>
      <c r="L24" s="310">
        <f t="shared" si="11"/>
        <v>8970156.182</v>
      </c>
      <c r="M24" s="310">
        <f t="shared" si="11"/>
        <v>9848602.474</v>
      </c>
      <c r="N24" s="310">
        <f t="shared" si="11"/>
        <v>10772233.74</v>
      </c>
      <c r="O24" s="311">
        <f t="shared" si="11"/>
        <v>62967609.9</v>
      </c>
      <c r="P24" s="1"/>
    </row>
    <row r="25" ht="12.75" customHeight="1">
      <c r="A25" s="1"/>
      <c r="B25" s="266"/>
      <c r="C25" s="287"/>
      <c r="D25" s="297"/>
      <c r="E25" s="289"/>
      <c r="F25" s="281"/>
      <c r="G25" s="281"/>
      <c r="H25" s="281"/>
      <c r="I25" s="281"/>
      <c r="J25" s="281"/>
      <c r="K25" s="289"/>
      <c r="L25" s="281"/>
      <c r="M25" s="281"/>
      <c r="N25" s="281"/>
      <c r="O25" s="298"/>
      <c r="P25" s="1"/>
    </row>
    <row r="26" ht="12.75" customHeight="1">
      <c r="A26" s="1"/>
      <c r="B26" s="296" t="s">
        <v>205</v>
      </c>
      <c r="C26" s="287"/>
      <c r="D26" s="297"/>
      <c r="E26" s="289"/>
      <c r="F26" s="281"/>
      <c r="G26" s="281"/>
      <c r="H26" s="281"/>
      <c r="I26" s="281"/>
      <c r="J26" s="281"/>
      <c r="K26" s="289"/>
      <c r="L26" s="281"/>
      <c r="M26" s="281"/>
      <c r="N26" s="281"/>
      <c r="O26" s="298"/>
      <c r="P26" s="1"/>
    </row>
    <row r="27" ht="12.75" customHeight="1">
      <c r="A27" s="1"/>
      <c r="B27" s="266" t="s">
        <v>195</v>
      </c>
      <c r="C27" s="299">
        <f>F5</f>
        <v>0.01</v>
      </c>
      <c r="D27" s="283">
        <f t="shared" ref="D27:D28" si="13">SUM(E27:O27)</f>
        <v>-554500</v>
      </c>
      <c r="E27" s="300">
        <f t="shared" ref="E27:O27" si="12">$C27*E11</f>
        <v>-554500</v>
      </c>
      <c r="F27" s="300">
        <f t="shared" si="12"/>
        <v>0</v>
      </c>
      <c r="G27" s="300">
        <f t="shared" si="12"/>
        <v>0</v>
      </c>
      <c r="H27" s="300">
        <f t="shared" si="12"/>
        <v>0</v>
      </c>
      <c r="I27" s="300">
        <f t="shared" si="12"/>
        <v>0</v>
      </c>
      <c r="J27" s="300">
        <f t="shared" si="12"/>
        <v>0</v>
      </c>
      <c r="K27" s="300">
        <f t="shared" si="12"/>
        <v>0</v>
      </c>
      <c r="L27" s="300">
        <f t="shared" si="12"/>
        <v>0</v>
      </c>
      <c r="M27" s="300">
        <f t="shared" si="12"/>
        <v>0</v>
      </c>
      <c r="N27" s="300">
        <f t="shared" si="12"/>
        <v>0</v>
      </c>
      <c r="O27" s="301">
        <f t="shared" si="12"/>
        <v>0</v>
      </c>
      <c r="P27" s="1"/>
    </row>
    <row r="28" ht="12.75" customHeight="1">
      <c r="A28" s="1"/>
      <c r="B28" s="271" t="s">
        <v>198</v>
      </c>
      <c r="C28" s="312">
        <f>F5</f>
        <v>0.01</v>
      </c>
      <c r="D28" s="313">
        <f t="shared" si="13"/>
        <v>1011296.942</v>
      </c>
      <c r="E28" s="314">
        <f t="shared" ref="E28:O28" si="14">E20/$C20*$C28</f>
        <v>0</v>
      </c>
      <c r="F28" s="314">
        <f t="shared" si="14"/>
        <v>28589.60993</v>
      </c>
      <c r="G28" s="314">
        <f t="shared" si="14"/>
        <v>35148.48341</v>
      </c>
      <c r="H28" s="314">
        <f t="shared" si="14"/>
        <v>42047.31557</v>
      </c>
      <c r="I28" s="314">
        <f t="shared" si="14"/>
        <v>-185736.962</v>
      </c>
      <c r="J28" s="314">
        <f t="shared" si="14"/>
        <v>74144.11501</v>
      </c>
      <c r="K28" s="314">
        <f t="shared" si="14"/>
        <v>82169.00298</v>
      </c>
      <c r="L28" s="314">
        <f t="shared" si="14"/>
        <v>90607.6382</v>
      </c>
      <c r="M28" s="314">
        <f t="shared" si="14"/>
        <v>99480.83307</v>
      </c>
      <c r="N28" s="314">
        <f t="shared" si="14"/>
        <v>108810.4419</v>
      </c>
      <c r="O28" s="315">
        <f t="shared" si="14"/>
        <v>636036.4636</v>
      </c>
      <c r="P28" s="1"/>
    </row>
    <row r="29" ht="12.75" customHeight="1">
      <c r="A29" s="1"/>
      <c r="B29" s="1"/>
      <c r="C29" s="287"/>
      <c r="D29" s="288"/>
      <c r="E29" s="289"/>
      <c r="F29" s="281"/>
      <c r="G29" s="281"/>
      <c r="H29" s="281"/>
      <c r="I29" s="281"/>
      <c r="J29" s="281"/>
      <c r="K29" s="289"/>
      <c r="L29" s="281"/>
      <c r="M29" s="281"/>
      <c r="N29" s="281"/>
      <c r="O29" s="281"/>
      <c r="P29" s="1"/>
    </row>
    <row r="30" ht="12.75" customHeight="1">
      <c r="A30" s="1"/>
      <c r="B30" s="316" t="s">
        <v>206</v>
      </c>
      <c r="C30" s="317"/>
      <c r="D30" s="318">
        <f>SUM(E30:O30)</f>
        <v>62182805.26</v>
      </c>
      <c r="E30" s="319">
        <f t="shared" ref="E30:O30" si="15">E13-E24-E27-E28</f>
        <v>0.0000000004656612873</v>
      </c>
      <c r="F30" s="319">
        <f t="shared" si="15"/>
        <v>0.0000000002182787284</v>
      </c>
      <c r="G30" s="319">
        <f t="shared" si="15"/>
        <v>0.0000000002182787284</v>
      </c>
      <c r="H30" s="319">
        <f t="shared" si="15"/>
        <v>-0.0000000001600710675</v>
      </c>
      <c r="I30" s="319">
        <f t="shared" si="15"/>
        <v>-0.0000000004947651178</v>
      </c>
      <c r="J30" s="319">
        <f t="shared" si="15"/>
        <v>0.0000000001600710675</v>
      </c>
      <c r="K30" s="319">
        <f t="shared" si="15"/>
        <v>0.0000000002619344741</v>
      </c>
      <c r="L30" s="319">
        <f t="shared" si="15"/>
        <v>0.0000000007421476766</v>
      </c>
      <c r="M30" s="319">
        <f t="shared" si="15"/>
        <v>-0.0000000004947651178</v>
      </c>
      <c r="N30" s="319">
        <f t="shared" si="15"/>
        <v>0.0000000001309672371</v>
      </c>
      <c r="O30" s="320">
        <f t="shared" si="15"/>
        <v>62182805.26</v>
      </c>
      <c r="P30" s="1"/>
    </row>
    <row r="31" ht="12.75" customHeight="1">
      <c r="A31" s="1"/>
      <c r="B31" s="1"/>
      <c r="C31" s="287"/>
      <c r="D31" s="288"/>
      <c r="E31" s="289"/>
      <c r="F31" s="281"/>
      <c r="G31" s="281"/>
      <c r="H31" s="281"/>
      <c r="I31" s="281"/>
      <c r="J31" s="281"/>
      <c r="K31" s="289"/>
      <c r="L31" s="281"/>
      <c r="M31" s="281"/>
      <c r="N31" s="281"/>
      <c r="O31" s="281"/>
      <c r="P31" s="1"/>
    </row>
    <row r="32" ht="12.75" customHeight="1">
      <c r="A32" s="1"/>
      <c r="B32" s="290" t="s">
        <v>207</v>
      </c>
      <c r="C32" s="291"/>
      <c r="D32" s="292"/>
      <c r="E32" s="293"/>
      <c r="F32" s="294"/>
      <c r="G32" s="294"/>
      <c r="H32" s="294"/>
      <c r="I32" s="294"/>
      <c r="J32" s="294"/>
      <c r="K32" s="293"/>
      <c r="L32" s="294"/>
      <c r="M32" s="294"/>
      <c r="N32" s="294"/>
      <c r="O32" s="295"/>
      <c r="P32" s="1"/>
    </row>
    <row r="33" ht="12.75" customHeight="1">
      <c r="A33" s="1"/>
      <c r="B33" s="296" t="s">
        <v>199</v>
      </c>
      <c r="C33" s="287"/>
      <c r="D33" s="297"/>
      <c r="E33" s="289"/>
      <c r="F33" s="281"/>
      <c r="G33" s="281"/>
      <c r="H33" s="281"/>
      <c r="I33" s="281"/>
      <c r="J33" s="281"/>
      <c r="K33" s="289"/>
      <c r="L33" s="281"/>
      <c r="M33" s="281"/>
      <c r="N33" s="281"/>
      <c r="O33" s="298"/>
      <c r="P33" s="1"/>
    </row>
    <row r="34" ht="12.75" customHeight="1">
      <c r="A34" s="1"/>
      <c r="B34" s="266" t="s">
        <v>200</v>
      </c>
      <c r="C34" s="287"/>
      <c r="D34" s="297"/>
      <c r="E34" s="281"/>
      <c r="F34" s="281">
        <f t="shared" ref="F34:O34" si="16">E40</f>
        <v>-54895500</v>
      </c>
      <c r="G34" s="281">
        <f t="shared" si="16"/>
        <v>-58652588.62</v>
      </c>
      <c r="H34" s="281">
        <f t="shared" si="16"/>
        <v>-62211199.39</v>
      </c>
      <c r="I34" s="281">
        <f t="shared" si="16"/>
        <v>-65513859.08</v>
      </c>
      <c r="J34" s="281">
        <f t="shared" si="16"/>
        <v>-91763481.4</v>
      </c>
      <c r="K34" s="281">
        <f t="shared" si="16"/>
        <v>-95434831.78</v>
      </c>
      <c r="L34" s="281">
        <f t="shared" si="16"/>
        <v>-98752280.3</v>
      </c>
      <c r="M34" s="281">
        <f t="shared" si="16"/>
        <v>-101632397.8</v>
      </c>
      <c r="N34" s="281">
        <f t="shared" si="16"/>
        <v>-103979683</v>
      </c>
      <c r="O34" s="298">
        <f t="shared" si="16"/>
        <v>-105685011.2</v>
      </c>
      <c r="P34" s="1"/>
    </row>
    <row r="35" ht="12.75" customHeight="1">
      <c r="A35" s="1"/>
      <c r="B35" s="266" t="s">
        <v>201</v>
      </c>
      <c r="C35" s="321">
        <f>E5</f>
        <v>0.99</v>
      </c>
      <c r="D35" s="283">
        <f t="shared" ref="D35:D38" si="18">SUM(E35:O35)</f>
        <v>-54895500</v>
      </c>
      <c r="E35" s="300">
        <f t="shared" ref="E35:O35" si="17">$C35*E11</f>
        <v>-54895500</v>
      </c>
      <c r="F35" s="300">
        <f t="shared" si="17"/>
        <v>0</v>
      </c>
      <c r="G35" s="300">
        <f t="shared" si="17"/>
        <v>0</v>
      </c>
      <c r="H35" s="300">
        <f t="shared" si="17"/>
        <v>0</v>
      </c>
      <c r="I35" s="300">
        <f t="shared" si="17"/>
        <v>0</v>
      </c>
      <c r="J35" s="300">
        <f t="shared" si="17"/>
        <v>0</v>
      </c>
      <c r="K35" s="300">
        <f t="shared" si="17"/>
        <v>0</v>
      </c>
      <c r="L35" s="300">
        <f t="shared" si="17"/>
        <v>0</v>
      </c>
      <c r="M35" s="300">
        <f t="shared" si="17"/>
        <v>0</v>
      </c>
      <c r="N35" s="300">
        <f t="shared" si="17"/>
        <v>0</v>
      </c>
      <c r="O35" s="301">
        <f t="shared" si="17"/>
        <v>0</v>
      </c>
      <c r="P35" s="1"/>
    </row>
    <row r="36" ht="12.75" customHeight="1">
      <c r="A36" s="1"/>
      <c r="B36" s="266" t="s">
        <v>202</v>
      </c>
      <c r="C36" s="321">
        <f>D6</f>
        <v>0.12</v>
      </c>
      <c r="D36" s="283">
        <f t="shared" si="18"/>
        <v>-100622499.9</v>
      </c>
      <c r="E36" s="300">
        <f t="shared" ref="E36:O36" si="19">$C36*E34</f>
        <v>0</v>
      </c>
      <c r="F36" s="300">
        <f t="shared" si="19"/>
        <v>-6587460</v>
      </c>
      <c r="G36" s="300">
        <f t="shared" si="19"/>
        <v>-7038310.634</v>
      </c>
      <c r="H36" s="300">
        <f t="shared" si="19"/>
        <v>-7465343.927</v>
      </c>
      <c r="I36" s="300">
        <f t="shared" si="19"/>
        <v>-7861663.089</v>
      </c>
      <c r="J36" s="300">
        <f t="shared" si="19"/>
        <v>-11011617.77</v>
      </c>
      <c r="K36" s="300">
        <f t="shared" si="19"/>
        <v>-11452179.81</v>
      </c>
      <c r="L36" s="300">
        <f t="shared" si="19"/>
        <v>-11850273.64</v>
      </c>
      <c r="M36" s="300">
        <f t="shared" si="19"/>
        <v>-12195887.73</v>
      </c>
      <c r="N36" s="300">
        <f t="shared" si="19"/>
        <v>-12477561.96</v>
      </c>
      <c r="O36" s="301">
        <f t="shared" si="19"/>
        <v>-12682201.35</v>
      </c>
      <c r="P36" s="1"/>
    </row>
    <row r="37" ht="12.75" customHeight="1">
      <c r="A37" s="1"/>
      <c r="B37" s="266" t="s">
        <v>198</v>
      </c>
      <c r="C37" s="322"/>
      <c r="D37" s="283">
        <f t="shared" si="18"/>
        <v>100118397.2</v>
      </c>
      <c r="E37" s="300">
        <f t="shared" ref="E37:O37" si="20">E20</f>
        <v>0</v>
      </c>
      <c r="F37" s="300">
        <f t="shared" si="20"/>
        <v>2830371.383</v>
      </c>
      <c r="G37" s="300">
        <f t="shared" si="20"/>
        <v>3479699.858</v>
      </c>
      <c r="H37" s="300">
        <f t="shared" si="20"/>
        <v>4162684.241</v>
      </c>
      <c r="I37" s="300">
        <f t="shared" si="20"/>
        <v>-18387959.23</v>
      </c>
      <c r="J37" s="300">
        <f t="shared" si="20"/>
        <v>7340267.386</v>
      </c>
      <c r="K37" s="300">
        <f t="shared" si="20"/>
        <v>8134731.295</v>
      </c>
      <c r="L37" s="300">
        <f t="shared" si="20"/>
        <v>8970156.182</v>
      </c>
      <c r="M37" s="300">
        <f t="shared" si="20"/>
        <v>9848602.474</v>
      </c>
      <c r="N37" s="300">
        <f t="shared" si="20"/>
        <v>10772233.74</v>
      </c>
      <c r="O37" s="301">
        <f t="shared" si="20"/>
        <v>62967609.9</v>
      </c>
      <c r="P37" s="1"/>
    </row>
    <row r="38" ht="12.75" customHeight="1">
      <c r="A38" s="1"/>
      <c r="B38" s="266" t="s">
        <v>207</v>
      </c>
      <c r="C38" s="321">
        <f>E6</f>
        <v>0.7</v>
      </c>
      <c r="D38" s="283">
        <f t="shared" si="18"/>
        <v>43527963.68</v>
      </c>
      <c r="E38" s="300">
        <f t="shared" ref="E38:O38" si="21">MIN(E30*$C38,-SUM(E34:E37))</f>
        <v>0.0000000003259629011</v>
      </c>
      <c r="F38" s="300">
        <f t="shared" si="21"/>
        <v>0.0000000001527951099</v>
      </c>
      <c r="G38" s="300">
        <f t="shared" si="21"/>
        <v>0.0000000001527951099</v>
      </c>
      <c r="H38" s="300">
        <f t="shared" si="21"/>
        <v>-0.0000000001120497473</v>
      </c>
      <c r="I38" s="300">
        <f t="shared" si="21"/>
        <v>-0.0000000003463355824</v>
      </c>
      <c r="J38" s="300">
        <f t="shared" si="21"/>
        <v>0.0000000001120497473</v>
      </c>
      <c r="K38" s="300">
        <f t="shared" si="21"/>
        <v>0.0000000001833541319</v>
      </c>
      <c r="L38" s="300">
        <f t="shared" si="21"/>
        <v>0.0000000005195033737</v>
      </c>
      <c r="M38" s="300">
        <f t="shared" si="21"/>
        <v>-0.0000000003463355824</v>
      </c>
      <c r="N38" s="300">
        <f t="shared" si="21"/>
        <v>0</v>
      </c>
      <c r="O38" s="301">
        <f t="shared" si="21"/>
        <v>43527963.68</v>
      </c>
      <c r="P38" s="1"/>
    </row>
    <row r="39" ht="12.75" customHeight="1">
      <c r="A39" s="1"/>
      <c r="B39" s="266"/>
      <c r="C39" s="287"/>
      <c r="D39" s="297"/>
      <c r="E39" s="300"/>
      <c r="F39" s="281"/>
      <c r="G39" s="281"/>
      <c r="H39" s="281"/>
      <c r="I39" s="281"/>
      <c r="J39" s="281"/>
      <c r="K39" s="300"/>
      <c r="L39" s="281"/>
      <c r="M39" s="281"/>
      <c r="N39" s="281"/>
      <c r="O39" s="298"/>
      <c r="P39" s="1"/>
    </row>
    <row r="40" ht="12.75" customHeight="1">
      <c r="A40" s="1"/>
      <c r="B40" s="323" t="s">
        <v>203</v>
      </c>
      <c r="C40" s="324"/>
      <c r="D40" s="325">
        <f>SUM(D35:D39)</f>
        <v>-11871639</v>
      </c>
      <c r="E40" s="326">
        <f t="shared" ref="E40:O40" si="22">SUM(E34:E39)</f>
        <v>-54895500</v>
      </c>
      <c r="F40" s="326">
        <f t="shared" si="22"/>
        <v>-58652588.62</v>
      </c>
      <c r="G40" s="326">
        <f t="shared" si="22"/>
        <v>-62211199.39</v>
      </c>
      <c r="H40" s="326">
        <f t="shared" si="22"/>
        <v>-65513859.08</v>
      </c>
      <c r="I40" s="326">
        <f t="shared" si="22"/>
        <v>-91763481.4</v>
      </c>
      <c r="J40" s="326">
        <f t="shared" si="22"/>
        <v>-95434831.78</v>
      </c>
      <c r="K40" s="326">
        <f t="shared" si="22"/>
        <v>-98752280.3</v>
      </c>
      <c r="L40" s="326">
        <f t="shared" si="22"/>
        <v>-101632397.8</v>
      </c>
      <c r="M40" s="326">
        <f t="shared" si="22"/>
        <v>-103979683</v>
      </c>
      <c r="N40" s="326">
        <f t="shared" si="22"/>
        <v>-105685011.2</v>
      </c>
      <c r="O40" s="327">
        <f t="shared" si="22"/>
        <v>-11871639</v>
      </c>
      <c r="P40" s="1"/>
    </row>
    <row r="41" ht="6.0" customHeight="1">
      <c r="A41" s="1"/>
      <c r="B41" s="266"/>
      <c r="C41" s="287"/>
      <c r="D41" s="297"/>
      <c r="E41" s="300"/>
      <c r="F41" s="281"/>
      <c r="G41" s="281"/>
      <c r="H41" s="281"/>
      <c r="I41" s="281"/>
      <c r="J41" s="281"/>
      <c r="K41" s="300"/>
      <c r="L41" s="281"/>
      <c r="M41" s="281"/>
      <c r="N41" s="281"/>
      <c r="O41" s="298"/>
      <c r="P41" s="1"/>
    </row>
    <row r="42" ht="12.75" customHeight="1">
      <c r="A42" s="1"/>
      <c r="B42" s="308" t="s">
        <v>204</v>
      </c>
      <c r="C42" s="309">
        <f>IRR(E42:O42)</f>
        <v>0.1109616807</v>
      </c>
      <c r="D42" s="283">
        <f>SUM(E42:O42)</f>
        <v>88750860.91</v>
      </c>
      <c r="E42" s="300">
        <f t="shared" ref="E42:O42" si="23">SUM(E35,E37,E38)</f>
        <v>-54895500</v>
      </c>
      <c r="F42" s="300">
        <f t="shared" si="23"/>
        <v>2830371.383</v>
      </c>
      <c r="G42" s="300">
        <f t="shared" si="23"/>
        <v>3479699.858</v>
      </c>
      <c r="H42" s="300">
        <f t="shared" si="23"/>
        <v>4162684.241</v>
      </c>
      <c r="I42" s="300">
        <f t="shared" si="23"/>
        <v>-18387959.23</v>
      </c>
      <c r="J42" s="300">
        <f t="shared" si="23"/>
        <v>7340267.386</v>
      </c>
      <c r="K42" s="300">
        <f t="shared" si="23"/>
        <v>8134731.295</v>
      </c>
      <c r="L42" s="300">
        <f t="shared" si="23"/>
        <v>8970156.182</v>
      </c>
      <c r="M42" s="300">
        <f t="shared" si="23"/>
        <v>9848602.474</v>
      </c>
      <c r="N42" s="300">
        <f t="shared" si="23"/>
        <v>10772233.74</v>
      </c>
      <c r="O42" s="301">
        <f t="shared" si="23"/>
        <v>106495573.6</v>
      </c>
      <c r="P42" s="1"/>
    </row>
    <row r="43" ht="12.75" customHeight="1">
      <c r="A43" s="1"/>
      <c r="B43" s="266"/>
      <c r="C43" s="287"/>
      <c r="D43" s="297"/>
      <c r="E43" s="300"/>
      <c r="F43" s="281"/>
      <c r="G43" s="281"/>
      <c r="H43" s="281"/>
      <c r="I43" s="281"/>
      <c r="J43" s="281"/>
      <c r="K43" s="300"/>
      <c r="L43" s="281"/>
      <c r="M43" s="281"/>
      <c r="N43" s="281"/>
      <c r="O43" s="298"/>
      <c r="P43" s="1"/>
    </row>
    <row r="44" ht="12.75" customHeight="1">
      <c r="A44" s="1"/>
      <c r="B44" s="296" t="s">
        <v>205</v>
      </c>
      <c r="C44" s="287"/>
      <c r="D44" s="297"/>
      <c r="E44" s="300"/>
      <c r="F44" s="281"/>
      <c r="G44" s="281"/>
      <c r="H44" s="281"/>
      <c r="I44" s="281"/>
      <c r="J44" s="281"/>
      <c r="K44" s="300"/>
      <c r="L44" s="281"/>
      <c r="M44" s="281"/>
      <c r="N44" s="281"/>
      <c r="O44" s="298"/>
      <c r="P44" s="1"/>
    </row>
    <row r="45" ht="12.75" customHeight="1">
      <c r="A45" s="1"/>
      <c r="B45" s="271" t="s">
        <v>207</v>
      </c>
      <c r="C45" s="328">
        <f>F6</f>
        <v>0.3</v>
      </c>
      <c r="D45" s="313">
        <f>SUM(E45:O45)</f>
        <v>18654841.58</v>
      </c>
      <c r="E45" s="314">
        <f t="shared" ref="E45:O45" si="24">E38/$C38*$C45</f>
        <v>0.0000000001396983862</v>
      </c>
      <c r="F45" s="314">
        <f t="shared" si="24"/>
        <v>0</v>
      </c>
      <c r="G45" s="314">
        <f t="shared" si="24"/>
        <v>0</v>
      </c>
      <c r="H45" s="314">
        <f t="shared" si="24"/>
        <v>0</v>
      </c>
      <c r="I45" s="314">
        <f t="shared" si="24"/>
        <v>-0.0000000001484295353</v>
      </c>
      <c r="J45" s="314">
        <f t="shared" si="24"/>
        <v>0</v>
      </c>
      <c r="K45" s="314">
        <f t="shared" si="24"/>
        <v>0</v>
      </c>
      <c r="L45" s="314">
        <f t="shared" si="24"/>
        <v>0.000000000222644303</v>
      </c>
      <c r="M45" s="314">
        <f t="shared" si="24"/>
        <v>-0.0000000001484295353</v>
      </c>
      <c r="N45" s="314">
        <f t="shared" si="24"/>
        <v>0</v>
      </c>
      <c r="O45" s="315">
        <f t="shared" si="24"/>
        <v>18654841.58</v>
      </c>
      <c r="P45" s="1"/>
    </row>
    <row r="46" ht="12.75" customHeight="1">
      <c r="A46" s="1"/>
      <c r="B46" s="1"/>
      <c r="C46" s="1"/>
      <c r="D46" s="1"/>
      <c r="E46" s="1"/>
      <c r="F46" s="1"/>
      <c r="G46" s="1"/>
      <c r="H46" s="1"/>
      <c r="I46" s="1"/>
      <c r="J46" s="1"/>
      <c r="K46" s="1"/>
      <c r="L46" s="1"/>
      <c r="M46" s="1"/>
      <c r="N46" s="1"/>
      <c r="O46" s="1"/>
      <c r="P46" s="1"/>
    </row>
    <row r="47" ht="12.75" customHeight="1">
      <c r="A47" s="1"/>
      <c r="B47" s="316" t="s">
        <v>208</v>
      </c>
      <c r="C47" s="317"/>
      <c r="D47" s="318">
        <f>SUM(E47:O47)</f>
        <v>-0.000000003725290298</v>
      </c>
      <c r="E47" s="329">
        <f t="shared" ref="E47:O47" si="25">E30-E38-E45</f>
        <v>0</v>
      </c>
      <c r="F47" s="329">
        <f t="shared" si="25"/>
        <v>0</v>
      </c>
      <c r="G47" s="329">
        <f t="shared" si="25"/>
        <v>0</v>
      </c>
      <c r="H47" s="329">
        <f t="shared" si="25"/>
        <v>0</v>
      </c>
      <c r="I47" s="329">
        <f t="shared" si="25"/>
        <v>0</v>
      </c>
      <c r="J47" s="329">
        <f t="shared" si="25"/>
        <v>0</v>
      </c>
      <c r="K47" s="329">
        <f t="shared" si="25"/>
        <v>0</v>
      </c>
      <c r="L47" s="329">
        <f t="shared" si="25"/>
        <v>0</v>
      </c>
      <c r="M47" s="329">
        <f t="shared" si="25"/>
        <v>0</v>
      </c>
      <c r="N47" s="329">
        <f t="shared" si="25"/>
        <v>0</v>
      </c>
      <c r="O47" s="330">
        <f t="shared" si="25"/>
        <v>-0.000000003725290298</v>
      </c>
      <c r="P47" s="1"/>
    </row>
    <row r="48" ht="12.75" customHeight="1">
      <c r="A48" s="1"/>
      <c r="B48" s="1"/>
      <c r="C48" s="1"/>
      <c r="D48" s="331"/>
      <c r="E48" s="1"/>
      <c r="F48" s="1"/>
      <c r="G48" s="1"/>
      <c r="H48" s="1"/>
      <c r="I48" s="1"/>
      <c r="J48" s="1"/>
      <c r="K48" s="1"/>
      <c r="L48" s="1"/>
      <c r="M48" s="1"/>
      <c r="N48" s="1"/>
      <c r="O48" s="1"/>
      <c r="P48" s="1"/>
    </row>
    <row r="49" ht="12.75" customHeight="1">
      <c r="A49" s="1"/>
      <c r="B49" s="290" t="s">
        <v>209</v>
      </c>
      <c r="C49" s="291"/>
      <c r="D49" s="292"/>
      <c r="E49" s="332"/>
      <c r="F49" s="294"/>
      <c r="G49" s="294"/>
      <c r="H49" s="294"/>
      <c r="I49" s="294"/>
      <c r="J49" s="294"/>
      <c r="K49" s="332"/>
      <c r="L49" s="294"/>
      <c r="M49" s="294"/>
      <c r="N49" s="294"/>
      <c r="O49" s="295"/>
      <c r="P49" s="1"/>
    </row>
    <row r="50" ht="12.75" customHeight="1">
      <c r="A50" s="1"/>
      <c r="B50" s="296" t="s">
        <v>199</v>
      </c>
      <c r="C50" s="287"/>
      <c r="D50" s="297"/>
      <c r="E50" s="300"/>
      <c r="F50" s="281"/>
      <c r="G50" s="281"/>
      <c r="H50" s="281"/>
      <c r="I50" s="281"/>
      <c r="J50" s="281"/>
      <c r="K50" s="300"/>
      <c r="L50" s="281"/>
      <c r="M50" s="281"/>
      <c r="N50" s="281"/>
      <c r="O50" s="298"/>
      <c r="P50" s="1"/>
    </row>
    <row r="51" ht="12.75" customHeight="1">
      <c r="A51" s="1"/>
      <c r="B51" s="266" t="s">
        <v>200</v>
      </c>
      <c r="C51" s="287"/>
      <c r="D51" s="297"/>
      <c r="E51" s="300"/>
      <c r="F51" s="300">
        <f t="shared" ref="F51:O51" si="26">E58</f>
        <v>-54895500</v>
      </c>
      <c r="G51" s="300">
        <f t="shared" si="26"/>
        <v>-60299453.62</v>
      </c>
      <c r="H51" s="300">
        <f t="shared" si="26"/>
        <v>-65864671.8</v>
      </c>
      <c r="I51" s="300">
        <f t="shared" si="26"/>
        <v>-71581688.33</v>
      </c>
      <c r="J51" s="300">
        <f t="shared" si="26"/>
        <v>-100706900.8</v>
      </c>
      <c r="K51" s="300">
        <f t="shared" si="26"/>
        <v>-108472668.5</v>
      </c>
      <c r="L51" s="300">
        <f t="shared" si="26"/>
        <v>-116608837.5</v>
      </c>
      <c r="M51" s="300">
        <f t="shared" si="26"/>
        <v>-125130007</v>
      </c>
      <c r="N51" s="300">
        <f t="shared" si="26"/>
        <v>-134050905.6</v>
      </c>
      <c r="O51" s="301">
        <f t="shared" si="26"/>
        <v>-143386307.7</v>
      </c>
      <c r="P51" s="1"/>
    </row>
    <row r="52" ht="12.75" customHeight="1">
      <c r="A52" s="1"/>
      <c r="B52" s="266" t="s">
        <v>201</v>
      </c>
      <c r="C52" s="321">
        <f>E5</f>
        <v>0.99</v>
      </c>
      <c r="D52" s="283">
        <f t="shared" ref="D52:D56" si="28">SUM(E52:O52)</f>
        <v>-54895500</v>
      </c>
      <c r="E52" s="300">
        <f t="shared" ref="E52:O52" si="27">$C52*E11</f>
        <v>-54895500</v>
      </c>
      <c r="F52" s="300">
        <f t="shared" si="27"/>
        <v>0</v>
      </c>
      <c r="G52" s="300">
        <f t="shared" si="27"/>
        <v>0</v>
      </c>
      <c r="H52" s="300">
        <f t="shared" si="27"/>
        <v>0</v>
      </c>
      <c r="I52" s="300">
        <f t="shared" si="27"/>
        <v>0</v>
      </c>
      <c r="J52" s="300">
        <f t="shared" si="27"/>
        <v>0</v>
      </c>
      <c r="K52" s="300">
        <f t="shared" si="27"/>
        <v>0</v>
      </c>
      <c r="L52" s="300">
        <f t="shared" si="27"/>
        <v>0</v>
      </c>
      <c r="M52" s="300">
        <f t="shared" si="27"/>
        <v>0</v>
      </c>
      <c r="N52" s="300">
        <f t="shared" si="27"/>
        <v>0</v>
      </c>
      <c r="O52" s="301">
        <f t="shared" si="27"/>
        <v>0</v>
      </c>
      <c r="P52" s="1"/>
    </row>
    <row r="53" ht="12.75" customHeight="1">
      <c r="A53" s="1"/>
      <c r="B53" s="266" t="s">
        <v>202</v>
      </c>
      <c r="C53" s="321">
        <f>D7</f>
        <v>0.15</v>
      </c>
      <c r="D53" s="283">
        <f t="shared" si="28"/>
        <v>-147149541.1</v>
      </c>
      <c r="E53" s="300">
        <f t="shared" ref="E53:O53" si="29">E51*$C53</f>
        <v>0</v>
      </c>
      <c r="F53" s="300">
        <f t="shared" si="29"/>
        <v>-8234325</v>
      </c>
      <c r="G53" s="300">
        <f t="shared" si="29"/>
        <v>-9044918.042</v>
      </c>
      <c r="H53" s="300">
        <f t="shared" si="29"/>
        <v>-9879700.77</v>
      </c>
      <c r="I53" s="300">
        <f t="shared" si="29"/>
        <v>-10737253.25</v>
      </c>
      <c r="J53" s="300">
        <f t="shared" si="29"/>
        <v>-15106035.12</v>
      </c>
      <c r="K53" s="300">
        <f t="shared" si="29"/>
        <v>-16270900.28</v>
      </c>
      <c r="L53" s="300">
        <f t="shared" si="29"/>
        <v>-17491325.63</v>
      </c>
      <c r="M53" s="300">
        <f t="shared" si="29"/>
        <v>-18769501.05</v>
      </c>
      <c r="N53" s="300">
        <f t="shared" si="29"/>
        <v>-20107635.83</v>
      </c>
      <c r="O53" s="301">
        <f t="shared" si="29"/>
        <v>-21507946.15</v>
      </c>
      <c r="P53" s="1"/>
    </row>
    <row r="54" ht="12.75" customHeight="1">
      <c r="A54" s="1"/>
      <c r="B54" s="266" t="s">
        <v>198</v>
      </c>
      <c r="C54" s="321"/>
      <c r="D54" s="283">
        <f t="shared" si="28"/>
        <v>100118397.2</v>
      </c>
      <c r="E54" s="300">
        <f t="shared" ref="E54:O54" si="30">E20</f>
        <v>0</v>
      </c>
      <c r="F54" s="300">
        <f t="shared" si="30"/>
        <v>2830371.383</v>
      </c>
      <c r="G54" s="300">
        <f t="shared" si="30"/>
        <v>3479699.858</v>
      </c>
      <c r="H54" s="300">
        <f t="shared" si="30"/>
        <v>4162684.241</v>
      </c>
      <c r="I54" s="300">
        <f t="shared" si="30"/>
        <v>-18387959.23</v>
      </c>
      <c r="J54" s="300">
        <f t="shared" si="30"/>
        <v>7340267.386</v>
      </c>
      <c r="K54" s="300">
        <f t="shared" si="30"/>
        <v>8134731.295</v>
      </c>
      <c r="L54" s="300">
        <f t="shared" si="30"/>
        <v>8970156.182</v>
      </c>
      <c r="M54" s="300">
        <f t="shared" si="30"/>
        <v>9848602.474</v>
      </c>
      <c r="N54" s="300">
        <f t="shared" si="30"/>
        <v>10772233.74</v>
      </c>
      <c r="O54" s="301">
        <f t="shared" si="30"/>
        <v>62967609.9</v>
      </c>
      <c r="P54" s="1"/>
    </row>
    <row r="55" ht="12.75" customHeight="1">
      <c r="A55" s="1"/>
      <c r="B55" s="266" t="s">
        <v>207</v>
      </c>
      <c r="C55" s="321"/>
      <c r="D55" s="283">
        <f t="shared" si="28"/>
        <v>43527963.68</v>
      </c>
      <c r="E55" s="300">
        <f t="shared" ref="E55:O55" si="31">E38</f>
        <v>0.0000000003259629011</v>
      </c>
      <c r="F55" s="300">
        <f t="shared" si="31"/>
        <v>0.0000000001527951099</v>
      </c>
      <c r="G55" s="300">
        <f t="shared" si="31"/>
        <v>0.0000000001527951099</v>
      </c>
      <c r="H55" s="300">
        <f t="shared" si="31"/>
        <v>-0.0000000001120497473</v>
      </c>
      <c r="I55" s="300">
        <f t="shared" si="31"/>
        <v>-0.0000000003463355824</v>
      </c>
      <c r="J55" s="300">
        <f t="shared" si="31"/>
        <v>0.0000000001120497473</v>
      </c>
      <c r="K55" s="300">
        <f t="shared" si="31"/>
        <v>0.0000000001833541319</v>
      </c>
      <c r="L55" s="300">
        <f t="shared" si="31"/>
        <v>0.0000000005195033737</v>
      </c>
      <c r="M55" s="300">
        <f t="shared" si="31"/>
        <v>-0.0000000003463355824</v>
      </c>
      <c r="N55" s="300">
        <f t="shared" si="31"/>
        <v>0</v>
      </c>
      <c r="O55" s="301">
        <f t="shared" si="31"/>
        <v>43527963.68</v>
      </c>
      <c r="P55" s="1"/>
    </row>
    <row r="56" ht="12.75" customHeight="1">
      <c r="A56" s="1"/>
      <c r="B56" s="266" t="s">
        <v>209</v>
      </c>
      <c r="C56" s="321">
        <f>E7</f>
        <v>0.6</v>
      </c>
      <c r="D56" s="283">
        <f t="shared" si="28"/>
        <v>-0.000000002235174179</v>
      </c>
      <c r="E56" s="300">
        <f t="shared" ref="E56:O56" si="32">MIN(-SUM(E51:E55),$C56*E47)</f>
        <v>0</v>
      </c>
      <c r="F56" s="300">
        <f t="shared" si="32"/>
        <v>0</v>
      </c>
      <c r="G56" s="300">
        <f t="shared" si="32"/>
        <v>0</v>
      </c>
      <c r="H56" s="300">
        <f t="shared" si="32"/>
        <v>0</v>
      </c>
      <c r="I56" s="300">
        <f t="shared" si="32"/>
        <v>0</v>
      </c>
      <c r="J56" s="300">
        <f t="shared" si="32"/>
        <v>0</v>
      </c>
      <c r="K56" s="300">
        <f t="shared" si="32"/>
        <v>0</v>
      </c>
      <c r="L56" s="300">
        <f t="shared" si="32"/>
        <v>0</v>
      </c>
      <c r="M56" s="300">
        <f t="shared" si="32"/>
        <v>0</v>
      </c>
      <c r="N56" s="300">
        <f t="shared" si="32"/>
        <v>0</v>
      </c>
      <c r="O56" s="301">
        <f t="shared" si="32"/>
        <v>-0.000000002235174179</v>
      </c>
      <c r="P56" s="1"/>
    </row>
    <row r="57" ht="12.75" customHeight="1">
      <c r="A57" s="1"/>
      <c r="B57" s="266"/>
      <c r="C57" s="287"/>
      <c r="D57" s="297"/>
      <c r="E57" s="300"/>
      <c r="F57" s="281"/>
      <c r="G57" s="281"/>
      <c r="H57" s="281"/>
      <c r="I57" s="281"/>
      <c r="J57" s="281"/>
      <c r="K57" s="300"/>
      <c r="L57" s="281"/>
      <c r="M57" s="281"/>
      <c r="N57" s="281"/>
      <c r="O57" s="298"/>
      <c r="P57" s="1"/>
    </row>
    <row r="58" ht="12.75" customHeight="1">
      <c r="A58" s="1"/>
      <c r="B58" s="302" t="s">
        <v>203</v>
      </c>
      <c r="C58" s="333"/>
      <c r="D58" s="304">
        <f>SUM(D52:D57)</f>
        <v>-58398680.21</v>
      </c>
      <c r="E58" s="305">
        <f t="shared" ref="E58:O58" si="33">SUM(E51:E57)</f>
        <v>-54895500</v>
      </c>
      <c r="F58" s="305">
        <f t="shared" si="33"/>
        <v>-60299453.62</v>
      </c>
      <c r="G58" s="305">
        <f t="shared" si="33"/>
        <v>-65864671.8</v>
      </c>
      <c r="H58" s="305">
        <f t="shared" si="33"/>
        <v>-71581688.33</v>
      </c>
      <c r="I58" s="305">
        <f t="shared" si="33"/>
        <v>-100706900.8</v>
      </c>
      <c r="J58" s="305">
        <f t="shared" si="33"/>
        <v>-108472668.5</v>
      </c>
      <c r="K58" s="305">
        <f t="shared" si="33"/>
        <v>-116608837.5</v>
      </c>
      <c r="L58" s="305">
        <f t="shared" si="33"/>
        <v>-125130007</v>
      </c>
      <c r="M58" s="305">
        <f t="shared" si="33"/>
        <v>-134050905.6</v>
      </c>
      <c r="N58" s="305">
        <f t="shared" si="33"/>
        <v>-143386307.7</v>
      </c>
      <c r="O58" s="306">
        <f t="shared" si="33"/>
        <v>-58398680.21</v>
      </c>
      <c r="P58" s="1"/>
    </row>
    <row r="59" ht="5.25" customHeight="1">
      <c r="A59" s="1"/>
      <c r="B59" s="266"/>
      <c r="C59" s="287"/>
      <c r="D59" s="297"/>
      <c r="E59" s="300"/>
      <c r="F59" s="281"/>
      <c r="G59" s="281"/>
      <c r="H59" s="281"/>
      <c r="I59" s="281"/>
      <c r="J59" s="281"/>
      <c r="K59" s="300"/>
      <c r="L59" s="281"/>
      <c r="M59" s="281"/>
      <c r="N59" s="281"/>
      <c r="O59" s="298"/>
      <c r="P59" s="1"/>
    </row>
    <row r="60" ht="12.75" customHeight="1">
      <c r="A60" s="1"/>
      <c r="B60" s="308" t="s">
        <v>204</v>
      </c>
      <c r="C60" s="334">
        <f>IRR(E60:O60)</f>
        <v>0.1109616807</v>
      </c>
      <c r="D60" s="283">
        <f>SUM(E60:O60)</f>
        <v>88750860.91</v>
      </c>
      <c r="E60" s="300">
        <f t="shared" ref="E60:O60" si="34">SUM(E52,E54,E55,E56)</f>
        <v>-54895500</v>
      </c>
      <c r="F60" s="300">
        <f t="shared" si="34"/>
        <v>2830371.383</v>
      </c>
      <c r="G60" s="300">
        <f t="shared" si="34"/>
        <v>3479699.858</v>
      </c>
      <c r="H60" s="300">
        <f t="shared" si="34"/>
        <v>4162684.241</v>
      </c>
      <c r="I60" s="300">
        <f t="shared" si="34"/>
        <v>-18387959.23</v>
      </c>
      <c r="J60" s="300">
        <f t="shared" si="34"/>
        <v>7340267.386</v>
      </c>
      <c r="K60" s="300">
        <f t="shared" si="34"/>
        <v>8134731.295</v>
      </c>
      <c r="L60" s="300">
        <f t="shared" si="34"/>
        <v>8970156.182</v>
      </c>
      <c r="M60" s="300">
        <f t="shared" si="34"/>
        <v>9848602.474</v>
      </c>
      <c r="N60" s="300">
        <f t="shared" si="34"/>
        <v>10772233.74</v>
      </c>
      <c r="O60" s="301">
        <f t="shared" si="34"/>
        <v>106495573.6</v>
      </c>
      <c r="P60" s="1"/>
    </row>
    <row r="61" ht="12.75" customHeight="1">
      <c r="A61" s="1"/>
      <c r="B61" s="266"/>
      <c r="C61" s="287"/>
      <c r="D61" s="297"/>
      <c r="E61" s="300"/>
      <c r="F61" s="281"/>
      <c r="G61" s="281"/>
      <c r="H61" s="281"/>
      <c r="I61" s="281"/>
      <c r="J61" s="281"/>
      <c r="K61" s="300"/>
      <c r="L61" s="281"/>
      <c r="M61" s="281"/>
      <c r="N61" s="281"/>
      <c r="O61" s="298"/>
      <c r="P61" s="1"/>
    </row>
    <row r="62" ht="12.75" customHeight="1">
      <c r="A62" s="1"/>
      <c r="B62" s="296" t="s">
        <v>205</v>
      </c>
      <c r="C62" s="287"/>
      <c r="D62" s="297"/>
      <c r="E62" s="300"/>
      <c r="F62" s="281"/>
      <c r="G62" s="281"/>
      <c r="H62" s="281"/>
      <c r="I62" s="281"/>
      <c r="J62" s="281"/>
      <c r="K62" s="300"/>
      <c r="L62" s="281"/>
      <c r="M62" s="281"/>
      <c r="N62" s="281"/>
      <c r="O62" s="298"/>
      <c r="P62" s="1"/>
    </row>
    <row r="63" ht="12.75" customHeight="1">
      <c r="A63" s="1"/>
      <c r="B63" s="271" t="s">
        <v>209</v>
      </c>
      <c r="C63" s="328">
        <f>F7</f>
        <v>0.4</v>
      </c>
      <c r="D63" s="313">
        <f>SUM(E63:O63)</f>
        <v>-0.000000001490116119</v>
      </c>
      <c r="E63" s="314">
        <f t="shared" ref="E63:O63" si="35">E56/$C56*$C63</f>
        <v>0</v>
      </c>
      <c r="F63" s="314">
        <f t="shared" si="35"/>
        <v>0</v>
      </c>
      <c r="G63" s="314">
        <f t="shared" si="35"/>
        <v>0</v>
      </c>
      <c r="H63" s="314">
        <f t="shared" si="35"/>
        <v>0</v>
      </c>
      <c r="I63" s="314">
        <f t="shared" si="35"/>
        <v>0</v>
      </c>
      <c r="J63" s="314">
        <f t="shared" si="35"/>
        <v>0</v>
      </c>
      <c r="K63" s="314">
        <f t="shared" si="35"/>
        <v>0</v>
      </c>
      <c r="L63" s="314">
        <f t="shared" si="35"/>
        <v>0</v>
      </c>
      <c r="M63" s="314">
        <f t="shared" si="35"/>
        <v>0</v>
      </c>
      <c r="N63" s="314">
        <f t="shared" si="35"/>
        <v>0</v>
      </c>
      <c r="O63" s="315">
        <f t="shared" si="35"/>
        <v>-0.000000001490116119</v>
      </c>
      <c r="P63" s="1"/>
    </row>
    <row r="64" ht="12.75" customHeight="1">
      <c r="A64" s="1"/>
      <c r="B64" s="266"/>
      <c r="C64" s="287"/>
      <c r="D64" s="288"/>
      <c r="E64" s="300"/>
      <c r="F64" s="281"/>
      <c r="G64" s="281"/>
      <c r="H64" s="281"/>
      <c r="I64" s="281"/>
      <c r="J64" s="281"/>
      <c r="K64" s="300"/>
      <c r="L64" s="281"/>
      <c r="M64" s="281"/>
      <c r="N64" s="281"/>
      <c r="O64" s="298"/>
      <c r="P64" s="1"/>
    </row>
    <row r="65" ht="12.75" customHeight="1">
      <c r="A65" s="1"/>
      <c r="B65" s="316" t="s">
        <v>210</v>
      </c>
      <c r="C65" s="317"/>
      <c r="D65" s="318">
        <f>SUM(E65:O65)</f>
        <v>0</v>
      </c>
      <c r="E65" s="329">
        <f t="shared" ref="E65:O65" si="36">E47-E56-E63</f>
        <v>0</v>
      </c>
      <c r="F65" s="329">
        <f t="shared" si="36"/>
        <v>0</v>
      </c>
      <c r="G65" s="329">
        <f t="shared" si="36"/>
        <v>0</v>
      </c>
      <c r="H65" s="329">
        <f t="shared" si="36"/>
        <v>0</v>
      </c>
      <c r="I65" s="329">
        <f t="shared" si="36"/>
        <v>0</v>
      </c>
      <c r="J65" s="329">
        <f t="shared" si="36"/>
        <v>0</v>
      </c>
      <c r="K65" s="329">
        <f t="shared" si="36"/>
        <v>0</v>
      </c>
      <c r="L65" s="329">
        <f t="shared" si="36"/>
        <v>0</v>
      </c>
      <c r="M65" s="329">
        <f t="shared" si="36"/>
        <v>0</v>
      </c>
      <c r="N65" s="329">
        <f t="shared" si="36"/>
        <v>0</v>
      </c>
      <c r="O65" s="330">
        <f t="shared" si="36"/>
        <v>0</v>
      </c>
      <c r="P65" s="1"/>
    </row>
    <row r="66" ht="12.75" customHeight="1">
      <c r="A66" s="1"/>
      <c r="B66" s="266"/>
      <c r="C66" s="287"/>
      <c r="D66" s="288"/>
      <c r="E66" s="300"/>
      <c r="F66" s="281"/>
      <c r="G66" s="281"/>
      <c r="H66" s="281"/>
      <c r="I66" s="281"/>
      <c r="J66" s="281"/>
      <c r="K66" s="300"/>
      <c r="L66" s="281"/>
      <c r="M66" s="281"/>
      <c r="N66" s="281"/>
      <c r="O66" s="298"/>
      <c r="P66" s="1"/>
    </row>
    <row r="67" ht="12.75" customHeight="1">
      <c r="A67" s="1"/>
      <c r="B67" s="335" t="s">
        <v>211</v>
      </c>
      <c r="C67" s="336"/>
      <c r="D67" s="337"/>
      <c r="E67" s="338"/>
      <c r="F67" s="339"/>
      <c r="G67" s="339"/>
      <c r="H67" s="339"/>
      <c r="I67" s="339"/>
      <c r="J67" s="339"/>
      <c r="K67" s="338"/>
      <c r="L67" s="339"/>
      <c r="M67" s="339"/>
      <c r="N67" s="339"/>
      <c r="O67" s="340"/>
      <c r="P67" s="1"/>
    </row>
    <row r="68" ht="12.75" customHeight="1">
      <c r="A68" s="1"/>
      <c r="B68" s="266" t="s">
        <v>187</v>
      </c>
      <c r="C68" s="321">
        <f>E8</f>
        <v>0.5</v>
      </c>
      <c r="D68" s="341">
        <f t="shared" ref="D68:D69" si="38">SUM(E68:O68)</f>
        <v>0</v>
      </c>
      <c r="E68" s="300">
        <f t="shared" ref="E68:O68" si="37">E65*$C68</f>
        <v>0</v>
      </c>
      <c r="F68" s="300">
        <f t="shared" si="37"/>
        <v>0</v>
      </c>
      <c r="G68" s="300">
        <f t="shared" si="37"/>
        <v>0</v>
      </c>
      <c r="H68" s="300">
        <f t="shared" si="37"/>
        <v>0</v>
      </c>
      <c r="I68" s="300">
        <f t="shared" si="37"/>
        <v>0</v>
      </c>
      <c r="J68" s="300">
        <f t="shared" si="37"/>
        <v>0</v>
      </c>
      <c r="K68" s="300">
        <f t="shared" si="37"/>
        <v>0</v>
      </c>
      <c r="L68" s="300">
        <f t="shared" si="37"/>
        <v>0</v>
      </c>
      <c r="M68" s="300">
        <f t="shared" si="37"/>
        <v>0</v>
      </c>
      <c r="N68" s="300">
        <f t="shared" si="37"/>
        <v>0</v>
      </c>
      <c r="O68" s="301">
        <f t="shared" si="37"/>
        <v>0</v>
      </c>
      <c r="P68" s="1"/>
    </row>
    <row r="69" ht="12.75" customHeight="1">
      <c r="A69" s="1"/>
      <c r="B69" s="271" t="s">
        <v>188</v>
      </c>
      <c r="C69" s="328">
        <f>F8</f>
        <v>0.5</v>
      </c>
      <c r="D69" s="313">
        <f t="shared" si="38"/>
        <v>0</v>
      </c>
      <c r="E69" s="314">
        <f t="shared" ref="E69:O69" si="39">E65*$C69</f>
        <v>0</v>
      </c>
      <c r="F69" s="314">
        <f t="shared" si="39"/>
        <v>0</v>
      </c>
      <c r="G69" s="314">
        <f t="shared" si="39"/>
        <v>0</v>
      </c>
      <c r="H69" s="314">
        <f t="shared" si="39"/>
        <v>0</v>
      </c>
      <c r="I69" s="314">
        <f t="shared" si="39"/>
        <v>0</v>
      </c>
      <c r="J69" s="314">
        <f t="shared" si="39"/>
        <v>0</v>
      </c>
      <c r="K69" s="314">
        <f t="shared" si="39"/>
        <v>0</v>
      </c>
      <c r="L69" s="314">
        <f t="shared" si="39"/>
        <v>0</v>
      </c>
      <c r="M69" s="314">
        <f t="shared" si="39"/>
        <v>0</v>
      </c>
      <c r="N69" s="314">
        <f t="shared" si="39"/>
        <v>0</v>
      </c>
      <c r="O69" s="315">
        <f t="shared" si="39"/>
        <v>0</v>
      </c>
      <c r="P69" s="1"/>
    </row>
    <row r="70" ht="12.75" customHeight="1">
      <c r="A70" s="1"/>
      <c r="B70" s="1"/>
      <c r="C70" s="287"/>
      <c r="D70" s="288"/>
      <c r="E70" s="300"/>
      <c r="F70" s="281"/>
      <c r="G70" s="281"/>
      <c r="H70" s="281"/>
      <c r="I70" s="281"/>
      <c r="J70" s="281"/>
      <c r="K70" s="300"/>
      <c r="L70" s="281"/>
      <c r="M70" s="281"/>
      <c r="N70" s="281"/>
      <c r="O70" s="281"/>
      <c r="P70" s="1"/>
    </row>
    <row r="71" ht="12.75" customHeight="1">
      <c r="A71" s="1"/>
      <c r="B71" s="342" t="s">
        <v>197</v>
      </c>
      <c r="C71" s="343"/>
      <c r="D71" s="344"/>
      <c r="E71" s="345"/>
      <c r="F71" s="346"/>
      <c r="G71" s="346"/>
      <c r="H71" s="346"/>
      <c r="I71" s="346"/>
      <c r="J71" s="346"/>
      <c r="K71" s="345"/>
      <c r="L71" s="346"/>
      <c r="M71" s="346"/>
      <c r="N71" s="346"/>
      <c r="O71" s="347"/>
      <c r="P71" s="1"/>
    </row>
    <row r="72" ht="12.75" customHeight="1">
      <c r="A72" s="1"/>
      <c r="B72" s="348" t="s">
        <v>212</v>
      </c>
      <c r="C72" s="349">
        <f>SUM(F72:O72)/-E72</f>
        <v>2.616723792</v>
      </c>
      <c r="D72" s="350">
        <f t="shared" ref="D72:D77" si="41">SUM(E72:O72)</f>
        <v>88750860.91</v>
      </c>
      <c r="E72" s="351">
        <f t="shared" ref="E72:O72" si="40">SUM(E73:E77)</f>
        <v>-54895500</v>
      </c>
      <c r="F72" s="351">
        <f t="shared" si="40"/>
        <v>2830371.383</v>
      </c>
      <c r="G72" s="351">
        <f t="shared" si="40"/>
        <v>3479699.858</v>
      </c>
      <c r="H72" s="351">
        <f t="shared" si="40"/>
        <v>4162684.241</v>
      </c>
      <c r="I72" s="351">
        <f t="shared" si="40"/>
        <v>-18387959.23</v>
      </c>
      <c r="J72" s="351">
        <f t="shared" si="40"/>
        <v>7340267.386</v>
      </c>
      <c r="K72" s="351">
        <f t="shared" si="40"/>
        <v>8134731.295</v>
      </c>
      <c r="L72" s="351">
        <f t="shared" si="40"/>
        <v>8970156.182</v>
      </c>
      <c r="M72" s="351">
        <f t="shared" si="40"/>
        <v>9848602.474</v>
      </c>
      <c r="N72" s="351">
        <f t="shared" si="40"/>
        <v>10772233.74</v>
      </c>
      <c r="O72" s="352">
        <f t="shared" si="40"/>
        <v>106495573.6</v>
      </c>
      <c r="P72" s="1"/>
    </row>
    <row r="73" ht="12.75" customHeight="1">
      <c r="A73" s="1"/>
      <c r="B73" s="353" t="s">
        <v>195</v>
      </c>
      <c r="C73" s="354">
        <f>IRR(E72:O72)</f>
        <v>0.1109616807</v>
      </c>
      <c r="D73" s="283">
        <f t="shared" si="41"/>
        <v>-54895500</v>
      </c>
      <c r="E73" s="300">
        <f t="shared" ref="E73:O73" si="42">E52</f>
        <v>-54895500</v>
      </c>
      <c r="F73" s="300">
        <f t="shared" si="42"/>
        <v>0</v>
      </c>
      <c r="G73" s="300">
        <f t="shared" si="42"/>
        <v>0</v>
      </c>
      <c r="H73" s="300">
        <f t="shared" si="42"/>
        <v>0</v>
      </c>
      <c r="I73" s="300">
        <f t="shared" si="42"/>
        <v>0</v>
      </c>
      <c r="J73" s="300">
        <f t="shared" si="42"/>
        <v>0</v>
      </c>
      <c r="K73" s="300">
        <f t="shared" si="42"/>
        <v>0</v>
      </c>
      <c r="L73" s="300">
        <f t="shared" si="42"/>
        <v>0</v>
      </c>
      <c r="M73" s="300">
        <f t="shared" si="42"/>
        <v>0</v>
      </c>
      <c r="N73" s="300">
        <f t="shared" si="42"/>
        <v>0</v>
      </c>
      <c r="O73" s="301">
        <f t="shared" si="42"/>
        <v>0</v>
      </c>
      <c r="P73" s="1"/>
    </row>
    <row r="74" ht="12.75" customHeight="1">
      <c r="A74" s="1"/>
      <c r="B74" s="353" t="s">
        <v>190</v>
      </c>
      <c r="C74" s="287"/>
      <c r="D74" s="283">
        <f t="shared" si="41"/>
        <v>100118397.2</v>
      </c>
      <c r="E74" s="300">
        <f t="shared" ref="E74:O74" si="43">E54</f>
        <v>0</v>
      </c>
      <c r="F74" s="300">
        <f t="shared" si="43"/>
        <v>2830371.383</v>
      </c>
      <c r="G74" s="300">
        <f t="shared" si="43"/>
        <v>3479699.858</v>
      </c>
      <c r="H74" s="300">
        <f t="shared" si="43"/>
        <v>4162684.241</v>
      </c>
      <c r="I74" s="300">
        <f t="shared" si="43"/>
        <v>-18387959.23</v>
      </c>
      <c r="J74" s="300">
        <f t="shared" si="43"/>
        <v>7340267.386</v>
      </c>
      <c r="K74" s="300">
        <f t="shared" si="43"/>
        <v>8134731.295</v>
      </c>
      <c r="L74" s="300">
        <f t="shared" si="43"/>
        <v>8970156.182</v>
      </c>
      <c r="M74" s="300">
        <f t="shared" si="43"/>
        <v>9848602.474</v>
      </c>
      <c r="N74" s="300">
        <f t="shared" si="43"/>
        <v>10772233.74</v>
      </c>
      <c r="O74" s="301">
        <f t="shared" si="43"/>
        <v>62967609.9</v>
      </c>
      <c r="P74" s="1"/>
    </row>
    <row r="75" ht="12.75" customHeight="1">
      <c r="A75" s="1"/>
      <c r="B75" s="353" t="s">
        <v>191</v>
      </c>
      <c r="C75" s="287"/>
      <c r="D75" s="283">
        <f t="shared" si="41"/>
        <v>43527963.68</v>
      </c>
      <c r="E75" s="300">
        <f t="shared" ref="E75:O75" si="44">E55</f>
        <v>0.0000000003259629011</v>
      </c>
      <c r="F75" s="300">
        <f t="shared" si="44"/>
        <v>0.0000000001527951099</v>
      </c>
      <c r="G75" s="300">
        <f t="shared" si="44"/>
        <v>0.0000000001527951099</v>
      </c>
      <c r="H75" s="300">
        <f t="shared" si="44"/>
        <v>-0.0000000001120497473</v>
      </c>
      <c r="I75" s="300">
        <f t="shared" si="44"/>
        <v>-0.0000000003463355824</v>
      </c>
      <c r="J75" s="300">
        <f t="shared" si="44"/>
        <v>0.0000000001120497473</v>
      </c>
      <c r="K75" s="300">
        <f t="shared" si="44"/>
        <v>0.0000000001833541319</v>
      </c>
      <c r="L75" s="300">
        <f t="shared" si="44"/>
        <v>0.0000000005195033737</v>
      </c>
      <c r="M75" s="300">
        <f t="shared" si="44"/>
        <v>-0.0000000003463355824</v>
      </c>
      <c r="N75" s="300">
        <f t="shared" si="44"/>
        <v>0</v>
      </c>
      <c r="O75" s="301">
        <f t="shared" si="44"/>
        <v>43527963.68</v>
      </c>
      <c r="P75" s="1"/>
    </row>
    <row r="76" ht="12.75" customHeight="1">
      <c r="A76" s="1"/>
      <c r="B76" s="353" t="s">
        <v>192</v>
      </c>
      <c r="C76" s="287"/>
      <c r="D76" s="283">
        <f t="shared" si="41"/>
        <v>-0.000000002235174179</v>
      </c>
      <c r="E76" s="300">
        <f t="shared" ref="E76:O76" si="45">E56</f>
        <v>0</v>
      </c>
      <c r="F76" s="300">
        <f t="shared" si="45"/>
        <v>0</v>
      </c>
      <c r="G76" s="300">
        <f t="shared" si="45"/>
        <v>0</v>
      </c>
      <c r="H76" s="300">
        <f t="shared" si="45"/>
        <v>0</v>
      </c>
      <c r="I76" s="300">
        <f t="shared" si="45"/>
        <v>0</v>
      </c>
      <c r="J76" s="300">
        <f t="shared" si="45"/>
        <v>0</v>
      </c>
      <c r="K76" s="300">
        <f t="shared" si="45"/>
        <v>0</v>
      </c>
      <c r="L76" s="300">
        <f t="shared" si="45"/>
        <v>0</v>
      </c>
      <c r="M76" s="300">
        <f t="shared" si="45"/>
        <v>0</v>
      </c>
      <c r="N76" s="300">
        <f t="shared" si="45"/>
        <v>0</v>
      </c>
      <c r="O76" s="301">
        <f t="shared" si="45"/>
        <v>-0.000000002235174179</v>
      </c>
      <c r="P76" s="1"/>
    </row>
    <row r="77" ht="12.75" customHeight="1">
      <c r="A77" s="1"/>
      <c r="B77" s="353" t="s">
        <v>193</v>
      </c>
      <c r="C77" s="287"/>
      <c r="D77" s="283">
        <f t="shared" si="41"/>
        <v>0</v>
      </c>
      <c r="E77" s="300">
        <f t="shared" ref="E77:O77" si="46">E68</f>
        <v>0</v>
      </c>
      <c r="F77" s="300">
        <f t="shared" si="46"/>
        <v>0</v>
      </c>
      <c r="G77" s="300">
        <f t="shared" si="46"/>
        <v>0</v>
      </c>
      <c r="H77" s="300">
        <f t="shared" si="46"/>
        <v>0</v>
      </c>
      <c r="I77" s="300">
        <f t="shared" si="46"/>
        <v>0</v>
      </c>
      <c r="J77" s="300">
        <f t="shared" si="46"/>
        <v>0</v>
      </c>
      <c r="K77" s="300">
        <f t="shared" si="46"/>
        <v>0</v>
      </c>
      <c r="L77" s="300">
        <f t="shared" si="46"/>
        <v>0</v>
      </c>
      <c r="M77" s="300">
        <f t="shared" si="46"/>
        <v>0</v>
      </c>
      <c r="N77" s="300">
        <f t="shared" si="46"/>
        <v>0</v>
      </c>
      <c r="O77" s="301">
        <f t="shared" si="46"/>
        <v>0</v>
      </c>
      <c r="P77" s="1"/>
    </row>
    <row r="78" ht="12.75" customHeight="1">
      <c r="A78" s="1"/>
      <c r="B78" s="266"/>
      <c r="C78" s="287"/>
      <c r="D78" s="297"/>
      <c r="E78" s="300"/>
      <c r="F78" s="281"/>
      <c r="G78" s="281"/>
      <c r="H78" s="281"/>
      <c r="I78" s="281"/>
      <c r="J78" s="281"/>
      <c r="K78" s="300"/>
      <c r="L78" s="281"/>
      <c r="M78" s="281"/>
      <c r="N78" s="281"/>
      <c r="O78" s="298"/>
      <c r="P78" s="1"/>
    </row>
    <row r="79" ht="12.75" customHeight="1">
      <c r="A79" s="1"/>
      <c r="B79" s="348" t="s">
        <v>213</v>
      </c>
      <c r="C79" s="349">
        <f>SUM(F79:O79)/-E79</f>
        <v>35.46643556</v>
      </c>
      <c r="D79" s="350">
        <f t="shared" ref="D79:D84" si="48">SUM(E79:O79)</f>
        <v>19111638.52</v>
      </c>
      <c r="E79" s="351">
        <f t="shared" ref="E79:O79" si="47">SUM(E80:E84)</f>
        <v>-554500</v>
      </c>
      <c r="F79" s="351">
        <f t="shared" si="47"/>
        <v>28589.60993</v>
      </c>
      <c r="G79" s="351">
        <f t="shared" si="47"/>
        <v>35148.48341</v>
      </c>
      <c r="H79" s="351">
        <f t="shared" si="47"/>
        <v>42047.31557</v>
      </c>
      <c r="I79" s="351">
        <f t="shared" si="47"/>
        <v>-185736.962</v>
      </c>
      <c r="J79" s="351">
        <f t="shared" si="47"/>
        <v>74144.11501</v>
      </c>
      <c r="K79" s="351">
        <f t="shared" si="47"/>
        <v>82169.00298</v>
      </c>
      <c r="L79" s="351">
        <f t="shared" si="47"/>
        <v>90607.6382</v>
      </c>
      <c r="M79" s="351">
        <f t="shared" si="47"/>
        <v>99480.83307</v>
      </c>
      <c r="N79" s="351">
        <f t="shared" si="47"/>
        <v>108810.4419</v>
      </c>
      <c r="O79" s="352">
        <f t="shared" si="47"/>
        <v>19290878.04</v>
      </c>
      <c r="P79" s="1"/>
    </row>
    <row r="80" ht="12.75" customHeight="1">
      <c r="A80" s="1"/>
      <c r="B80" s="353" t="s">
        <v>195</v>
      </c>
      <c r="C80" s="354">
        <f>IRR(E79:O79)</f>
        <v>0.4383730248</v>
      </c>
      <c r="D80" s="283">
        <f t="shared" si="48"/>
        <v>-554500</v>
      </c>
      <c r="E80" s="300">
        <f t="shared" ref="E80:O80" si="49">E27</f>
        <v>-554500</v>
      </c>
      <c r="F80" s="300">
        <f t="shared" si="49"/>
        <v>0</v>
      </c>
      <c r="G80" s="300">
        <f t="shared" si="49"/>
        <v>0</v>
      </c>
      <c r="H80" s="300">
        <f t="shared" si="49"/>
        <v>0</v>
      </c>
      <c r="I80" s="300">
        <f t="shared" si="49"/>
        <v>0</v>
      </c>
      <c r="J80" s="300">
        <f t="shared" si="49"/>
        <v>0</v>
      </c>
      <c r="K80" s="300">
        <f t="shared" si="49"/>
        <v>0</v>
      </c>
      <c r="L80" s="300">
        <f t="shared" si="49"/>
        <v>0</v>
      </c>
      <c r="M80" s="300">
        <f t="shared" si="49"/>
        <v>0</v>
      </c>
      <c r="N80" s="300">
        <f t="shared" si="49"/>
        <v>0</v>
      </c>
      <c r="O80" s="301">
        <f t="shared" si="49"/>
        <v>0</v>
      </c>
      <c r="P80" s="1"/>
    </row>
    <row r="81" ht="12.75" customHeight="1">
      <c r="A81" s="1"/>
      <c r="B81" s="353" t="s">
        <v>190</v>
      </c>
      <c r="C81" s="287"/>
      <c r="D81" s="283">
        <f t="shared" si="48"/>
        <v>1011296.942</v>
      </c>
      <c r="E81" s="300">
        <f t="shared" ref="E81:O81" si="50">E28</f>
        <v>0</v>
      </c>
      <c r="F81" s="300">
        <f t="shared" si="50"/>
        <v>28589.60993</v>
      </c>
      <c r="G81" s="300">
        <f t="shared" si="50"/>
        <v>35148.48341</v>
      </c>
      <c r="H81" s="300">
        <f t="shared" si="50"/>
        <v>42047.31557</v>
      </c>
      <c r="I81" s="300">
        <f t="shared" si="50"/>
        <v>-185736.962</v>
      </c>
      <c r="J81" s="300">
        <f t="shared" si="50"/>
        <v>74144.11501</v>
      </c>
      <c r="K81" s="300">
        <f t="shared" si="50"/>
        <v>82169.00298</v>
      </c>
      <c r="L81" s="300">
        <f t="shared" si="50"/>
        <v>90607.6382</v>
      </c>
      <c r="M81" s="300">
        <f t="shared" si="50"/>
        <v>99480.83307</v>
      </c>
      <c r="N81" s="300">
        <f t="shared" si="50"/>
        <v>108810.4419</v>
      </c>
      <c r="O81" s="301">
        <f t="shared" si="50"/>
        <v>636036.4636</v>
      </c>
      <c r="P81" s="1"/>
    </row>
    <row r="82" ht="12.75" customHeight="1">
      <c r="A82" s="1"/>
      <c r="B82" s="353" t="s">
        <v>191</v>
      </c>
      <c r="C82" s="287"/>
      <c r="D82" s="283">
        <f t="shared" si="48"/>
        <v>18654841.58</v>
      </c>
      <c r="E82" s="300">
        <f t="shared" ref="E82:O82" si="51">E45</f>
        <v>0.0000000001396983862</v>
      </c>
      <c r="F82" s="300">
        <f t="shared" si="51"/>
        <v>0</v>
      </c>
      <c r="G82" s="300">
        <f t="shared" si="51"/>
        <v>0</v>
      </c>
      <c r="H82" s="300">
        <f t="shared" si="51"/>
        <v>0</v>
      </c>
      <c r="I82" s="300">
        <f t="shared" si="51"/>
        <v>-0.0000000001484295353</v>
      </c>
      <c r="J82" s="300">
        <f t="shared" si="51"/>
        <v>0</v>
      </c>
      <c r="K82" s="300">
        <f t="shared" si="51"/>
        <v>0</v>
      </c>
      <c r="L82" s="300">
        <f t="shared" si="51"/>
        <v>0.000000000222644303</v>
      </c>
      <c r="M82" s="300">
        <f t="shared" si="51"/>
        <v>-0.0000000001484295353</v>
      </c>
      <c r="N82" s="300">
        <f t="shared" si="51"/>
        <v>0</v>
      </c>
      <c r="O82" s="301">
        <f t="shared" si="51"/>
        <v>18654841.58</v>
      </c>
      <c r="P82" s="1"/>
    </row>
    <row r="83" ht="12.75" customHeight="1">
      <c r="A83" s="1"/>
      <c r="B83" s="353" t="s">
        <v>192</v>
      </c>
      <c r="C83" s="287"/>
      <c r="D83" s="283">
        <f t="shared" si="48"/>
        <v>-0.000000001490116119</v>
      </c>
      <c r="E83" s="300">
        <f t="shared" ref="E83:O83" si="52">E63</f>
        <v>0</v>
      </c>
      <c r="F83" s="300">
        <f t="shared" si="52"/>
        <v>0</v>
      </c>
      <c r="G83" s="300">
        <f t="shared" si="52"/>
        <v>0</v>
      </c>
      <c r="H83" s="300">
        <f t="shared" si="52"/>
        <v>0</v>
      </c>
      <c r="I83" s="300">
        <f t="shared" si="52"/>
        <v>0</v>
      </c>
      <c r="J83" s="300">
        <f t="shared" si="52"/>
        <v>0</v>
      </c>
      <c r="K83" s="300">
        <f t="shared" si="52"/>
        <v>0</v>
      </c>
      <c r="L83" s="300">
        <f t="shared" si="52"/>
        <v>0</v>
      </c>
      <c r="M83" s="300">
        <f t="shared" si="52"/>
        <v>0</v>
      </c>
      <c r="N83" s="300">
        <f t="shared" si="52"/>
        <v>0</v>
      </c>
      <c r="O83" s="301">
        <f t="shared" si="52"/>
        <v>-0.000000001490116119</v>
      </c>
      <c r="P83" s="1"/>
    </row>
    <row r="84" ht="12.75" customHeight="1">
      <c r="A84" s="1"/>
      <c r="B84" s="355" t="s">
        <v>193</v>
      </c>
      <c r="C84" s="356"/>
      <c r="D84" s="313">
        <f t="shared" si="48"/>
        <v>0</v>
      </c>
      <c r="E84" s="314">
        <f t="shared" ref="E84:O84" si="53">E69</f>
        <v>0</v>
      </c>
      <c r="F84" s="314">
        <f t="shared" si="53"/>
        <v>0</v>
      </c>
      <c r="G84" s="314">
        <f t="shared" si="53"/>
        <v>0</v>
      </c>
      <c r="H84" s="314">
        <f t="shared" si="53"/>
        <v>0</v>
      </c>
      <c r="I84" s="314">
        <f t="shared" si="53"/>
        <v>0</v>
      </c>
      <c r="J84" s="314">
        <f t="shared" si="53"/>
        <v>0</v>
      </c>
      <c r="K84" s="314">
        <f t="shared" si="53"/>
        <v>0</v>
      </c>
      <c r="L84" s="314">
        <f t="shared" si="53"/>
        <v>0</v>
      </c>
      <c r="M84" s="314">
        <f t="shared" si="53"/>
        <v>0</v>
      </c>
      <c r="N84" s="314">
        <f t="shared" si="53"/>
        <v>0</v>
      </c>
      <c r="O84" s="315">
        <f t="shared" si="53"/>
        <v>0</v>
      </c>
      <c r="P84" s="1"/>
    </row>
    <row r="85" ht="5.25" customHeight="1">
      <c r="A85" s="1"/>
      <c r="B85" s="1"/>
      <c r="C85" s="287"/>
      <c r="D85" s="288"/>
      <c r="E85" s="300"/>
      <c r="F85" s="281"/>
      <c r="G85" s="281"/>
      <c r="H85" s="281"/>
      <c r="I85" s="281"/>
      <c r="J85" s="281"/>
      <c r="K85" s="300"/>
      <c r="L85" s="281"/>
      <c r="M85" s="281"/>
      <c r="N85" s="281"/>
      <c r="O85" s="281"/>
      <c r="P85" s="1"/>
    </row>
    <row r="86" ht="12.75" customHeight="1">
      <c r="A86" s="1"/>
      <c r="B86" s="357" t="s">
        <v>204</v>
      </c>
      <c r="C86" s="358"/>
      <c r="D86" s="359">
        <f t="shared" ref="D86:O86" si="54">D13-D72-D79</f>
        <v>0</v>
      </c>
      <c r="E86" s="359">
        <f t="shared" si="54"/>
        <v>0.0000000003492459655</v>
      </c>
      <c r="F86" s="359">
        <f t="shared" si="54"/>
        <v>0.0000000001527951099</v>
      </c>
      <c r="G86" s="359">
        <f t="shared" si="54"/>
        <v>0.0000000001527951099</v>
      </c>
      <c r="H86" s="359">
        <f t="shared" si="54"/>
        <v>-0.0000000001091393642</v>
      </c>
      <c r="I86" s="359">
        <f t="shared" si="54"/>
        <v>-0.0000000003492459655</v>
      </c>
      <c r="J86" s="359">
        <f t="shared" si="54"/>
        <v>0.0000000001164153218</v>
      </c>
      <c r="K86" s="359">
        <f t="shared" si="54"/>
        <v>0.000000000189174898</v>
      </c>
      <c r="L86" s="359">
        <f t="shared" si="54"/>
        <v>0.0000000005238689482</v>
      </c>
      <c r="M86" s="359">
        <f t="shared" si="54"/>
        <v>-0.0000000003492459655</v>
      </c>
      <c r="N86" s="359">
        <f t="shared" si="54"/>
        <v>0</v>
      </c>
      <c r="O86" s="359">
        <f t="shared" si="54"/>
        <v>-0.000000007450580597</v>
      </c>
      <c r="P86" s="1"/>
    </row>
    <row r="87" ht="12.75" customHeight="1">
      <c r="A87" s="1"/>
      <c r="B87" s="1"/>
      <c r="C87" s="1"/>
      <c r="D87" s="1"/>
      <c r="E87" s="1"/>
      <c r="F87" s="1"/>
      <c r="G87" s="1"/>
      <c r="H87" s="1"/>
      <c r="I87" s="1"/>
      <c r="J87" s="1"/>
      <c r="K87" s="1"/>
      <c r="L87" s="1"/>
      <c r="M87" s="1"/>
      <c r="N87" s="1"/>
      <c r="O87" s="1"/>
      <c r="P87" s="1"/>
    </row>
    <row r="88" ht="12.75" customHeight="1">
      <c r="A88" s="1"/>
      <c r="B88" s="1"/>
      <c r="C88" s="1"/>
      <c r="D88" s="1"/>
      <c r="E88" s="1"/>
      <c r="F88" s="1"/>
      <c r="G88" s="1"/>
      <c r="H88" s="1"/>
      <c r="I88" s="1"/>
      <c r="J88" s="1"/>
      <c r="K88" s="1"/>
      <c r="L88" s="1"/>
      <c r="M88" s="1"/>
      <c r="N88" s="1"/>
      <c r="O88" s="1"/>
      <c r="P88" s="1"/>
    </row>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O2"/>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pageSetUpPr/>
  </sheetPr>
  <sheetViews>
    <sheetView showGridLines="0" workbookViewId="0"/>
  </sheetViews>
  <sheetFormatPr customHeight="1" defaultColWidth="12.63" defaultRowHeight="15.0"/>
  <cols>
    <col customWidth="1" min="1" max="6" width="9.13"/>
    <col customWidth="1" min="7" max="12" width="8.75"/>
    <col customWidth="1" min="13" max="26" width="14.38"/>
  </cols>
  <sheetData>
    <row r="1" ht="12.75" customHeight="1">
      <c r="A1" s="1"/>
      <c r="B1" s="1"/>
      <c r="C1" s="1"/>
      <c r="D1" s="1"/>
      <c r="E1" s="1"/>
      <c r="F1" s="1"/>
      <c r="G1" s="1"/>
      <c r="H1" s="1"/>
      <c r="I1" s="1"/>
      <c r="J1" s="1"/>
      <c r="K1" s="1"/>
      <c r="L1" s="1"/>
    </row>
    <row r="2" ht="12.75" customHeight="1">
      <c r="A2" s="1"/>
      <c r="B2" s="1"/>
      <c r="C2" s="1"/>
      <c r="D2" s="1"/>
      <c r="E2" s="1"/>
      <c r="F2" s="1"/>
      <c r="G2" s="1"/>
      <c r="H2" s="1"/>
      <c r="I2" s="1"/>
      <c r="J2" s="1"/>
      <c r="K2" s="1"/>
      <c r="L2" s="1"/>
    </row>
    <row r="3" ht="12.75" customHeight="1">
      <c r="A3" s="1"/>
      <c r="B3" s="1"/>
      <c r="C3" s="1"/>
      <c r="D3" s="1"/>
      <c r="E3" s="1"/>
      <c r="F3" s="1"/>
      <c r="G3" s="1"/>
      <c r="H3" s="1"/>
      <c r="I3" s="1"/>
      <c r="J3" s="1"/>
      <c r="K3" s="1"/>
      <c r="L3" s="1"/>
    </row>
    <row r="4" ht="12.75" customHeight="1">
      <c r="A4" s="1"/>
      <c r="B4" s="1"/>
      <c r="C4" s="1"/>
      <c r="D4" s="1"/>
      <c r="E4" s="1"/>
      <c r="F4" s="1"/>
      <c r="G4" s="1"/>
      <c r="H4" s="1"/>
      <c r="I4" s="1"/>
      <c r="J4" s="1"/>
      <c r="K4" s="1"/>
      <c r="L4" s="1"/>
    </row>
    <row r="5" ht="12.75" customHeight="1">
      <c r="A5" s="1"/>
      <c r="B5" s="1"/>
      <c r="C5" s="1"/>
      <c r="D5" s="1"/>
      <c r="E5" s="1"/>
      <c r="F5" s="1"/>
      <c r="G5" s="1"/>
      <c r="H5" s="1"/>
      <c r="I5" s="1"/>
      <c r="J5" s="1"/>
      <c r="K5" s="1"/>
      <c r="L5" s="1"/>
    </row>
    <row r="6" ht="12.75" customHeight="1">
      <c r="A6" s="1"/>
      <c r="B6" s="1"/>
      <c r="C6" s="1"/>
      <c r="D6" s="1"/>
      <c r="E6" s="1"/>
      <c r="F6" s="1"/>
      <c r="G6" s="1"/>
      <c r="H6" s="1"/>
      <c r="I6" s="1"/>
      <c r="J6" s="1"/>
      <c r="K6" s="1"/>
      <c r="L6" s="1"/>
    </row>
    <row r="7" ht="12.75" customHeight="1">
      <c r="A7" s="1"/>
      <c r="B7" s="1"/>
      <c r="C7" s="1"/>
      <c r="D7" s="1"/>
      <c r="E7" s="1"/>
      <c r="F7" s="1"/>
      <c r="G7" s="1"/>
      <c r="H7" s="1"/>
      <c r="I7" s="1"/>
      <c r="J7" s="1"/>
      <c r="K7" s="1"/>
      <c r="L7" s="1"/>
    </row>
    <row r="8" ht="12.75" customHeight="1">
      <c r="A8" s="1"/>
      <c r="B8" s="1"/>
      <c r="C8" s="1"/>
      <c r="D8" s="1"/>
      <c r="E8" s="1"/>
      <c r="F8" s="1"/>
      <c r="G8" s="1"/>
      <c r="H8" s="1"/>
      <c r="I8" s="1"/>
      <c r="J8" s="1"/>
      <c r="K8" s="1"/>
      <c r="L8" s="1"/>
    </row>
    <row r="9" ht="12.75" customHeight="1">
      <c r="A9" s="1"/>
      <c r="B9" s="1"/>
      <c r="C9" s="1"/>
      <c r="D9" s="1"/>
      <c r="E9" s="1"/>
      <c r="F9" s="1"/>
      <c r="G9" s="1"/>
      <c r="H9" s="1"/>
      <c r="I9" s="1"/>
      <c r="J9" s="1"/>
      <c r="K9" s="1"/>
      <c r="L9" s="1"/>
    </row>
    <row r="10" ht="12.75" customHeight="1">
      <c r="A10" s="1"/>
      <c r="B10" s="1"/>
      <c r="C10" s="1"/>
      <c r="D10" s="1"/>
      <c r="E10" s="1"/>
      <c r="F10" s="1"/>
      <c r="G10" s="1"/>
      <c r="H10" s="1"/>
      <c r="I10" s="1"/>
      <c r="J10" s="1"/>
      <c r="K10" s="1"/>
      <c r="L10" s="1"/>
    </row>
    <row r="11" ht="12.75" customHeight="1">
      <c r="A11" s="1"/>
      <c r="B11" s="1"/>
      <c r="C11" s="1"/>
      <c r="D11" s="1"/>
      <c r="E11" s="1"/>
      <c r="F11" s="1"/>
      <c r="G11" s="1"/>
      <c r="H11" s="1"/>
      <c r="I11" s="1"/>
      <c r="J11" s="1"/>
      <c r="K11" s="1"/>
      <c r="L11" s="1"/>
    </row>
    <row r="12" ht="12.75" customHeight="1">
      <c r="A12" s="1"/>
      <c r="B12" s="1"/>
      <c r="C12" s="1"/>
      <c r="D12" s="1"/>
      <c r="E12" s="1"/>
      <c r="F12" s="1"/>
      <c r="G12" s="1"/>
      <c r="H12" s="1"/>
      <c r="I12" s="1"/>
      <c r="J12" s="1"/>
      <c r="K12" s="1"/>
      <c r="L12" s="1"/>
    </row>
    <row r="13" ht="12.75" customHeight="1">
      <c r="A13" s="1"/>
      <c r="B13" s="1"/>
      <c r="C13" s="1"/>
      <c r="D13" s="1"/>
      <c r="E13" s="1"/>
      <c r="F13" s="1"/>
      <c r="G13" s="1"/>
      <c r="H13" s="1"/>
      <c r="I13" s="1"/>
      <c r="J13" s="1"/>
      <c r="K13" s="1"/>
      <c r="L13" s="1"/>
    </row>
    <row r="14" ht="12.75" customHeight="1">
      <c r="A14" s="1"/>
      <c r="B14" s="1"/>
      <c r="C14" s="1"/>
      <c r="D14" s="1"/>
      <c r="E14" s="1"/>
      <c r="F14" s="1"/>
      <c r="G14" s="1"/>
      <c r="H14" s="1"/>
      <c r="I14" s="1"/>
      <c r="J14" s="1"/>
      <c r="K14" s="1"/>
      <c r="L14" s="1"/>
    </row>
    <row r="15" ht="12.75" customHeight="1">
      <c r="A15" s="1"/>
      <c r="B15" s="1"/>
      <c r="C15" s="1"/>
      <c r="D15" s="1"/>
      <c r="E15" s="1"/>
      <c r="F15" s="1"/>
      <c r="G15" s="1"/>
      <c r="H15" s="1"/>
      <c r="I15" s="1"/>
      <c r="J15" s="1"/>
      <c r="K15" s="1"/>
      <c r="L15" s="1"/>
    </row>
    <row r="16" ht="12.75" customHeight="1">
      <c r="A16" s="1"/>
      <c r="B16" s="1"/>
      <c r="C16" s="1"/>
      <c r="D16" s="1"/>
      <c r="E16" s="1"/>
      <c r="F16" s="1"/>
      <c r="G16" s="1"/>
      <c r="H16" s="1"/>
      <c r="I16" s="1"/>
      <c r="J16" s="1"/>
      <c r="K16" s="1"/>
      <c r="L16" s="1"/>
    </row>
    <row r="17" ht="12.75" customHeight="1">
      <c r="A17" s="1"/>
      <c r="B17" s="1"/>
      <c r="C17" s="1"/>
      <c r="D17" s="1"/>
      <c r="E17" s="1"/>
      <c r="F17" s="1"/>
      <c r="G17" s="1"/>
      <c r="H17" s="1"/>
      <c r="I17" s="1"/>
      <c r="J17" s="1"/>
      <c r="K17" s="1"/>
      <c r="L17" s="1"/>
    </row>
    <row r="18" ht="12.75" customHeight="1">
      <c r="A18" s="1"/>
      <c r="B18" s="1"/>
      <c r="C18" s="1"/>
      <c r="D18" s="1"/>
      <c r="E18" s="1"/>
      <c r="F18" s="1"/>
      <c r="G18" s="1"/>
      <c r="H18" s="1"/>
      <c r="I18" s="1"/>
      <c r="J18" s="1"/>
      <c r="K18" s="1"/>
      <c r="L18" s="1"/>
    </row>
    <row r="19" ht="12.75" customHeight="1">
      <c r="A19" s="1"/>
      <c r="B19" s="1"/>
      <c r="C19" s="1"/>
      <c r="D19" s="1"/>
      <c r="E19" s="1"/>
      <c r="F19" s="1"/>
      <c r="G19" s="1"/>
      <c r="H19" s="1"/>
      <c r="I19" s="1"/>
      <c r="J19" s="1"/>
      <c r="K19" s="1"/>
      <c r="L19" s="1"/>
    </row>
    <row r="20" ht="12.75" customHeight="1">
      <c r="A20" s="1"/>
      <c r="B20" s="1"/>
      <c r="C20" s="1"/>
      <c r="D20" s="1"/>
      <c r="E20" s="1"/>
      <c r="F20" s="1"/>
      <c r="G20" s="1"/>
      <c r="H20" s="1"/>
      <c r="I20" s="1"/>
      <c r="J20" s="1"/>
      <c r="K20" s="1"/>
      <c r="L20" s="1"/>
    </row>
    <row r="21" ht="12.75" customHeight="1">
      <c r="A21" s="1"/>
      <c r="B21" s="1"/>
      <c r="C21" s="1"/>
      <c r="D21" s="1"/>
      <c r="E21" s="1"/>
      <c r="F21" s="1"/>
      <c r="G21" s="1"/>
      <c r="H21" s="1"/>
      <c r="I21" s="1"/>
      <c r="J21" s="1"/>
      <c r="K21" s="1"/>
      <c r="L21" s="1"/>
    </row>
    <row r="22" ht="12.75" customHeight="1">
      <c r="A22" s="1"/>
      <c r="B22" s="1"/>
      <c r="C22" s="1"/>
      <c r="D22" s="1"/>
      <c r="E22" s="1"/>
      <c r="F22" s="1"/>
      <c r="G22" s="1"/>
      <c r="H22" s="1"/>
      <c r="I22" s="1"/>
      <c r="J22" s="1"/>
      <c r="K22" s="1"/>
      <c r="L22" s="1"/>
    </row>
    <row r="23" ht="12.75" customHeight="1">
      <c r="A23" s="1"/>
      <c r="B23" s="1"/>
      <c r="C23" s="1"/>
      <c r="D23" s="1"/>
      <c r="E23" s="1"/>
      <c r="F23" s="1"/>
      <c r="G23" s="1"/>
      <c r="H23" s="1"/>
      <c r="I23" s="1"/>
      <c r="J23" s="1"/>
      <c r="K23" s="1"/>
      <c r="L23" s="1"/>
    </row>
    <row r="24" ht="12.75" customHeight="1">
      <c r="A24" s="1"/>
      <c r="B24" s="1"/>
      <c r="C24" s="1"/>
      <c r="D24" s="1"/>
      <c r="E24" s="1"/>
      <c r="F24" s="1"/>
      <c r="G24" s="1"/>
      <c r="H24" s="1"/>
      <c r="I24" s="1"/>
      <c r="J24" s="1"/>
      <c r="K24" s="1"/>
      <c r="L24" s="1"/>
    </row>
    <row r="25" ht="12.75" customHeight="1">
      <c r="A25" s="1"/>
      <c r="B25" s="1"/>
      <c r="C25" s="1"/>
      <c r="D25" s="1"/>
      <c r="E25" s="1"/>
      <c r="F25" s="1"/>
      <c r="G25" s="1"/>
      <c r="H25" s="1"/>
      <c r="I25" s="1"/>
      <c r="J25" s="1"/>
      <c r="K25" s="1"/>
      <c r="L25" s="1"/>
    </row>
    <row r="26" ht="12.75" customHeight="1">
      <c r="A26" s="1"/>
      <c r="B26" s="1"/>
      <c r="C26" s="1"/>
      <c r="D26" s="1"/>
      <c r="E26" s="1"/>
      <c r="F26" s="1"/>
      <c r="G26" s="1"/>
      <c r="H26" s="1"/>
      <c r="I26" s="1"/>
      <c r="J26" s="1"/>
      <c r="K26" s="1"/>
      <c r="L26" s="1"/>
    </row>
    <row r="27" ht="12.75" customHeight="1">
      <c r="A27" s="1"/>
      <c r="B27" s="1"/>
      <c r="C27" s="1"/>
      <c r="D27" s="1"/>
      <c r="E27" s="1"/>
      <c r="F27" s="1"/>
      <c r="G27" s="1"/>
      <c r="H27" s="1"/>
      <c r="I27" s="1"/>
      <c r="J27" s="1"/>
      <c r="K27" s="1"/>
      <c r="L27" s="1"/>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pane ySplit="10.0" topLeftCell="A11" activePane="bottomLeft" state="frozen"/>
      <selection activeCell="B12" sqref="B12" pane="bottomLeft"/>
    </sheetView>
  </sheetViews>
  <sheetFormatPr customHeight="1" defaultColWidth="12.63" defaultRowHeight="15.0"/>
  <cols>
    <col customWidth="1" min="1" max="1" width="25.63"/>
    <col customWidth="1" min="2" max="2" width="16.0"/>
    <col customWidth="1" min="3" max="3" width="10.88"/>
    <col customWidth="1" min="4" max="4" width="10.75"/>
    <col customWidth="1" min="5" max="5" width="17.75"/>
    <col customWidth="1" min="6" max="7" width="13.63"/>
    <col customWidth="1" min="8" max="8" width="12.75"/>
    <col customWidth="1" min="9" max="9" width="18.63"/>
    <col customWidth="1" min="10" max="11" width="11.75"/>
    <col customWidth="1" hidden="1" min="12" max="12" width="11.0"/>
    <col customWidth="1" hidden="1" min="13" max="13" width="13.25"/>
    <col customWidth="1" hidden="1" min="14" max="14" width="11.88"/>
    <col customWidth="1" hidden="1" min="15" max="15" width="20.63"/>
    <col customWidth="1" min="16" max="16" width="14.25"/>
    <col customWidth="1" min="17" max="17" width="13.13"/>
    <col customWidth="1" min="18" max="18" width="10.63"/>
    <col customWidth="1" min="19" max="19" width="14.25"/>
    <col customWidth="1" min="20" max="20" width="8.75"/>
    <col customWidth="1" min="21" max="26" width="14.38"/>
  </cols>
  <sheetData>
    <row r="1" ht="17.25" customHeight="1">
      <c r="A1" s="360" t="s">
        <v>214</v>
      </c>
      <c r="B1" s="361"/>
      <c r="C1" s="361"/>
      <c r="D1" s="362"/>
      <c r="E1" s="363"/>
      <c r="F1" s="364"/>
      <c r="G1" s="363"/>
      <c r="H1" s="363"/>
      <c r="I1" s="363"/>
      <c r="J1" s="365"/>
      <c r="K1" s="365"/>
      <c r="L1" s="366"/>
      <c r="M1" s="367"/>
      <c r="N1" s="367"/>
      <c r="O1" s="367"/>
      <c r="P1" s="368"/>
      <c r="Q1" s="369"/>
      <c r="R1" s="370"/>
      <c r="S1" s="370"/>
      <c r="T1" s="1"/>
    </row>
    <row r="2" ht="12.75" customHeight="1">
      <c r="A2" s="364"/>
      <c r="B2" s="371"/>
      <c r="C2" s="372"/>
      <c r="D2" s="372"/>
      <c r="E2" s="372"/>
      <c r="F2" s="363"/>
      <c r="G2" s="363"/>
      <c r="H2" s="363"/>
      <c r="I2" s="363"/>
      <c r="J2" s="365"/>
      <c r="K2" s="365"/>
      <c r="L2" s="366"/>
      <c r="M2" s="367"/>
      <c r="N2" s="367"/>
      <c r="O2" s="367"/>
      <c r="P2" s="368"/>
      <c r="Q2" s="369"/>
      <c r="R2" s="370"/>
      <c r="S2" s="370"/>
      <c r="T2" s="1"/>
    </row>
    <row r="3" ht="12.75" customHeight="1">
      <c r="A3" s="373" t="s">
        <v>215</v>
      </c>
      <c r="B3" s="374">
        <f>'Global Inputs'!C18</f>
        <v>155000000</v>
      </c>
      <c r="C3" s="375" t="s">
        <v>216</v>
      </c>
      <c r="D3" s="376"/>
      <c r="E3" s="377">
        <f>SUM(C:C)</f>
        <v>16306617.46</v>
      </c>
      <c r="F3" s="1"/>
      <c r="G3" s="378" t="s">
        <v>217</v>
      </c>
      <c r="H3" s="8"/>
      <c r="I3" s="379" t="s">
        <v>218</v>
      </c>
      <c r="J3" s="365"/>
      <c r="K3" s="365"/>
      <c r="L3" s="366"/>
      <c r="M3" s="367"/>
      <c r="N3" s="367"/>
      <c r="O3" s="367"/>
      <c r="P3" s="368"/>
      <c r="Q3" s="369"/>
      <c r="R3" s="370"/>
      <c r="S3" s="370"/>
      <c r="T3" s="1"/>
    </row>
    <row r="4" ht="12.75" customHeight="1">
      <c r="A4" s="380" t="s">
        <v>219</v>
      </c>
      <c r="B4" s="381">
        <f>'Global Inputs'!C44</f>
        <v>30</v>
      </c>
      <c r="C4" s="382" t="s">
        <v>220</v>
      </c>
      <c r="D4" s="9"/>
      <c r="E4" s="383">
        <f>SUM(D:D)</f>
        <v>155309092.9</v>
      </c>
      <c r="F4" s="1"/>
      <c r="G4" s="384">
        <f>PMT(B5/B6,B6*B4,-B3)</f>
        <v>632773.8305</v>
      </c>
      <c r="H4" s="8"/>
      <c r="I4" s="385">
        <f>(B3*B5)/12</f>
        <v>355208.3333</v>
      </c>
      <c r="J4" s="365"/>
      <c r="K4" s="365"/>
      <c r="L4" s="366"/>
      <c r="M4" s="367"/>
      <c r="N4" s="367"/>
      <c r="O4" s="367"/>
      <c r="P4" s="368"/>
      <c r="Q4" s="369"/>
      <c r="R4" s="370"/>
      <c r="S4" s="370"/>
      <c r="T4" s="1"/>
    </row>
    <row r="5" ht="12.75" customHeight="1">
      <c r="A5" s="380" t="s">
        <v>221</v>
      </c>
      <c r="B5" s="386">
        <f>'Global Inputs'!C43</f>
        <v>0.0275</v>
      </c>
      <c r="C5" s="387" t="s">
        <v>222</v>
      </c>
      <c r="D5" s="388"/>
      <c r="E5" s="389">
        <f>E4+E3</f>
        <v>171615710.4</v>
      </c>
      <c r="F5" s="363"/>
      <c r="G5" s="363"/>
      <c r="H5" s="363"/>
      <c r="I5" s="363"/>
      <c r="J5" s="365"/>
      <c r="K5" s="365"/>
      <c r="L5" s="366"/>
      <c r="M5" s="367"/>
      <c r="N5" s="367"/>
      <c r="O5" s="367"/>
      <c r="P5" s="368"/>
      <c r="Q5" s="369"/>
      <c r="R5" s="370"/>
      <c r="S5" s="370"/>
      <c r="T5" s="1"/>
    </row>
    <row r="6" ht="12.75" customHeight="1">
      <c r="A6" s="390" t="s">
        <v>223</v>
      </c>
      <c r="B6" s="381">
        <f>'Global Inputs'!C45</f>
        <v>12</v>
      </c>
      <c r="C6" s="1"/>
      <c r="D6" s="1"/>
      <c r="E6" s="1"/>
      <c r="F6" s="363"/>
      <c r="G6" s="363"/>
      <c r="H6" s="363"/>
      <c r="I6" s="363"/>
      <c r="J6" s="365"/>
      <c r="K6" s="365"/>
      <c r="L6" s="366"/>
      <c r="M6" s="367"/>
      <c r="N6" s="367"/>
      <c r="O6" s="367"/>
      <c r="P6" s="368"/>
      <c r="Q6" s="369"/>
      <c r="R6" s="370"/>
      <c r="S6" s="370"/>
      <c r="T6" s="1"/>
    </row>
    <row r="7" ht="12.75" customHeight="1">
      <c r="A7" s="390" t="s">
        <v>224</v>
      </c>
      <c r="B7" s="391">
        <v>44197.0</v>
      </c>
      <c r="C7" s="392"/>
      <c r="D7" s="392"/>
      <c r="E7" s="392"/>
      <c r="F7" s="363"/>
      <c r="G7" s="393" t="s">
        <v>225</v>
      </c>
      <c r="H7" s="394">
        <v>0.0</v>
      </c>
      <c r="I7" s="363"/>
      <c r="J7" s="365"/>
      <c r="K7" s="365"/>
      <c r="L7" s="366"/>
      <c r="M7" s="367"/>
      <c r="N7" s="367"/>
      <c r="O7" s="367"/>
      <c r="P7" s="368"/>
      <c r="Q7" s="369"/>
      <c r="R7" s="370"/>
      <c r="S7" s="370"/>
      <c r="T7" s="1"/>
    </row>
    <row r="8" ht="12.75" customHeight="1">
      <c r="A8" s="395" t="s">
        <v>226</v>
      </c>
      <c r="B8" s="396">
        <v>44197.0</v>
      </c>
      <c r="C8" s="363"/>
      <c r="D8" s="363"/>
      <c r="E8" s="363"/>
      <c r="F8" s="363"/>
      <c r="G8" s="363"/>
      <c r="H8" s="363"/>
      <c r="I8" s="363"/>
      <c r="J8" s="365"/>
      <c r="K8" s="365"/>
      <c r="L8" s="366"/>
      <c r="M8" s="367"/>
      <c r="N8" s="367"/>
      <c r="O8" s="367"/>
      <c r="P8" s="368"/>
      <c r="Q8" s="369"/>
      <c r="R8" s="370"/>
      <c r="S8" s="370"/>
      <c r="T8" s="1"/>
    </row>
    <row r="9" ht="12.75" customHeight="1">
      <c r="A9" s="364"/>
      <c r="B9" s="363"/>
      <c r="C9" s="363"/>
      <c r="D9" s="363"/>
      <c r="E9" s="363"/>
      <c r="F9" s="363"/>
      <c r="G9" s="363"/>
      <c r="H9" s="363"/>
      <c r="I9" s="363"/>
      <c r="J9" s="365"/>
      <c r="K9" s="365"/>
      <c r="L9" s="366"/>
      <c r="M9" s="367"/>
      <c r="N9" s="367"/>
      <c r="O9" s="367"/>
      <c r="P9" s="368"/>
      <c r="Q9" s="369"/>
      <c r="R9" s="370"/>
      <c r="S9" s="370"/>
      <c r="T9" s="1"/>
    </row>
    <row r="10" ht="12.75" customHeight="1">
      <c r="A10" s="397" t="s">
        <v>227</v>
      </c>
      <c r="B10" s="398" t="s">
        <v>228</v>
      </c>
      <c r="C10" s="398" t="s">
        <v>229</v>
      </c>
      <c r="D10" s="398" t="s">
        <v>230</v>
      </c>
      <c r="E10" s="398" t="s">
        <v>231</v>
      </c>
      <c r="F10" s="399" t="s">
        <v>232</v>
      </c>
      <c r="G10" s="398" t="s">
        <v>233</v>
      </c>
      <c r="H10" s="398" t="s">
        <v>234</v>
      </c>
      <c r="I10" s="400"/>
      <c r="J10" s="401" t="s">
        <v>235</v>
      </c>
      <c r="K10" s="402" t="s">
        <v>236</v>
      </c>
      <c r="L10" s="403" t="s">
        <v>237</v>
      </c>
      <c r="M10" s="367" t="s">
        <v>238</v>
      </c>
      <c r="N10" s="367" t="s">
        <v>239</v>
      </c>
      <c r="O10" s="367" t="s">
        <v>240</v>
      </c>
      <c r="P10" s="368"/>
      <c r="Q10" s="369"/>
      <c r="R10" s="404"/>
      <c r="S10" s="404"/>
      <c r="T10" s="405"/>
    </row>
    <row r="11" ht="12.75" customHeight="1">
      <c r="A11" s="1">
        <v>0.0</v>
      </c>
      <c r="B11" s="1"/>
      <c r="C11" s="176"/>
      <c r="D11" s="176"/>
      <c r="E11" s="176">
        <f>$B$3</f>
        <v>155000000</v>
      </c>
      <c r="F11" s="176"/>
      <c r="G11" s="176"/>
      <c r="H11" s="1"/>
      <c r="I11" s="1">
        <f t="shared" ref="I11:I371" si="1">IF($B$4*$B$6&lt;A11,"",A11)</f>
        <v>0</v>
      </c>
      <c r="J11" s="406"/>
      <c r="K11" s="406"/>
      <c r="L11" s="366"/>
      <c r="M11" s="407" t="str">
        <f t="shared" ref="M11:M371" si="2">D11</f>
        <v/>
      </c>
      <c r="N11" s="407" t="str">
        <f t="shared" ref="N11:N371" si="3">C11</f>
        <v/>
      </c>
      <c r="O11" s="407">
        <f t="shared" ref="O11:O371" si="4">E11</f>
        <v>155000000</v>
      </c>
      <c r="P11" s="368"/>
      <c r="Q11" s="369"/>
      <c r="R11" s="370"/>
      <c r="S11" s="370"/>
      <c r="T11" s="1"/>
    </row>
    <row r="12" ht="12.75" customHeight="1">
      <c r="A12" s="1">
        <v>1.0</v>
      </c>
      <c r="B12" s="408">
        <f t="shared" ref="B12:B371" si="5">IF(I12&gt;($B$4*$B$6),"",PMT(H12/$B$6,COUNT($I12:I$374),-E11))</f>
        <v>632773.8305</v>
      </c>
      <c r="C12" s="408">
        <f t="shared" ref="C12:C371" si="6">IFERROR(E11*H12/$B$6,0)</f>
        <v>355208.3333</v>
      </c>
      <c r="D12" s="409">
        <f t="shared" ref="D12:D371" si="7">IF(AND(K12&lt;=H$7,P13&gt;0),P13+(B11-C11)+R13-Q13,IF(K12&lt;=H$7,0,IF(P13&gt;0,IF(A12&gt;($B$4*$B$6),"",B12-C12+P13),IF(A12&gt;($B$4*$B$6),"",B12-C12))-Q13))</f>
        <v>277565.4972</v>
      </c>
      <c r="E12" s="176">
        <f t="shared" ref="E12:E371" si="8">IF(P13&gt;0, IF(A12&gt;($B$4*$B$6),"",E11-D12+B12-C12),IF(A12&gt;($B$4*$B$6),"",E11-D12))</f>
        <v>154722434.5</v>
      </c>
      <c r="F12" s="408">
        <f>IF(A12&gt;($B$4*$B$6),"",C12)</f>
        <v>355208.3333</v>
      </c>
      <c r="G12" s="408">
        <f>IF(A12&gt;($B$4*$B$6),"",B12)</f>
        <v>632773.8305</v>
      </c>
      <c r="H12" s="410">
        <f>B5</f>
        <v>0.0275</v>
      </c>
      <c r="I12" s="1">
        <f t="shared" si="1"/>
        <v>1</v>
      </c>
      <c r="J12" s="406">
        <f>B7</f>
        <v>44197</v>
      </c>
      <c r="K12" s="105">
        <f t="shared" ref="K12:K371" si="9">YEAR(J12)-YEAR(B$8)+1</f>
        <v>1</v>
      </c>
      <c r="L12" s="411">
        <f t="shared" ref="L12:L371" si="10">B12</f>
        <v>632773.8305</v>
      </c>
      <c r="M12" s="407">
        <f t="shared" si="2"/>
        <v>277565.4972</v>
      </c>
      <c r="N12" s="407">
        <f t="shared" si="3"/>
        <v>355208.3333</v>
      </c>
      <c r="O12" s="407">
        <f t="shared" si="4"/>
        <v>154722434.5</v>
      </c>
      <c r="P12" s="368" t="str">
        <f>IF(AND(K12&gt;K11,K12-2+1='Pro Forma Detail'!D$66),E9,)</f>
        <v/>
      </c>
      <c r="Q12" s="369" t="str">
        <f t="shared" ref="Q12:Q371" si="11">IF(P12&gt;0,B10-C10,)</f>
        <v/>
      </c>
      <c r="R12" s="370">
        <f t="shared" ref="R12:R371" si="12">IF(Q12&gt;0,B11-C11,0)</f>
        <v>0</v>
      </c>
      <c r="S12" s="370">
        <f t="shared" ref="S12:S371" si="13">IF(R13&gt;0,P13,0)</f>
        <v>0</v>
      </c>
      <c r="T12" s="1"/>
    </row>
    <row r="13" ht="12.75" customHeight="1">
      <c r="A13" s="1">
        <v>2.0</v>
      </c>
      <c r="B13" s="408">
        <f t="shared" si="5"/>
        <v>632773.8305</v>
      </c>
      <c r="C13" s="408">
        <f t="shared" si="6"/>
        <v>354572.2457</v>
      </c>
      <c r="D13" s="409">
        <f t="shared" si="7"/>
        <v>278201.5848</v>
      </c>
      <c r="E13" s="176">
        <f t="shared" si="8"/>
        <v>154444232.9</v>
      </c>
      <c r="F13" s="408">
        <f t="shared" ref="F13:F371" si="14">IF(A12&gt;=($B$4*$B$6),"",F12+C13)</f>
        <v>709780.5791</v>
      </c>
      <c r="G13" s="408">
        <f t="shared" ref="G13:G371" si="15">IF(A12&gt;=($B$4*$B$6),"",G12+B13)</f>
        <v>1265547.661</v>
      </c>
      <c r="H13" s="410">
        <f t="shared" ref="H13:H371" si="16">H12</f>
        <v>0.0275</v>
      </c>
      <c r="I13" s="1">
        <f t="shared" si="1"/>
        <v>2</v>
      </c>
      <c r="J13" s="406">
        <f t="shared" ref="J13:J371" si="17">EDATE(J12,1)</f>
        <v>44228</v>
      </c>
      <c r="K13" s="105">
        <f t="shared" si="9"/>
        <v>1</v>
      </c>
      <c r="L13" s="411">
        <f t="shared" si="10"/>
        <v>632773.8305</v>
      </c>
      <c r="M13" s="407">
        <f t="shared" si="2"/>
        <v>278201.5848</v>
      </c>
      <c r="N13" s="407">
        <f t="shared" si="3"/>
        <v>354572.2457</v>
      </c>
      <c r="O13" s="407">
        <f t="shared" si="4"/>
        <v>154444232.9</v>
      </c>
      <c r="P13" s="368" t="str">
        <f>IF(AND(K13&gt;K12,K13-2+1='Pro Forma Detail'!D$66),E10,)</f>
        <v/>
      </c>
      <c r="Q13" s="369" t="str">
        <f t="shared" si="11"/>
        <v/>
      </c>
      <c r="R13" s="370">
        <f t="shared" si="12"/>
        <v>0</v>
      </c>
      <c r="S13" s="370">
        <f t="shared" si="13"/>
        <v>0</v>
      </c>
      <c r="T13" s="1"/>
    </row>
    <row r="14" ht="12.75" customHeight="1">
      <c r="A14" s="1">
        <v>3.0</v>
      </c>
      <c r="B14" s="408">
        <f t="shared" si="5"/>
        <v>632773.8305</v>
      </c>
      <c r="C14" s="408">
        <f t="shared" si="6"/>
        <v>353934.7004</v>
      </c>
      <c r="D14" s="409">
        <f t="shared" si="7"/>
        <v>278839.1301</v>
      </c>
      <c r="E14" s="176">
        <f t="shared" si="8"/>
        <v>154165393.8</v>
      </c>
      <c r="F14" s="408">
        <f t="shared" si="14"/>
        <v>1063715.28</v>
      </c>
      <c r="G14" s="408">
        <f t="shared" si="15"/>
        <v>1898321.492</v>
      </c>
      <c r="H14" s="410">
        <f t="shared" si="16"/>
        <v>0.0275</v>
      </c>
      <c r="I14" s="1">
        <f t="shared" si="1"/>
        <v>3</v>
      </c>
      <c r="J14" s="406">
        <f t="shared" si="17"/>
        <v>44256</v>
      </c>
      <c r="K14" s="105">
        <f t="shared" si="9"/>
        <v>1</v>
      </c>
      <c r="L14" s="411">
        <f t="shared" si="10"/>
        <v>632773.8305</v>
      </c>
      <c r="M14" s="407">
        <f t="shared" si="2"/>
        <v>278839.1301</v>
      </c>
      <c r="N14" s="407">
        <f t="shared" si="3"/>
        <v>353934.7004</v>
      </c>
      <c r="O14" s="407">
        <f t="shared" si="4"/>
        <v>154165393.8</v>
      </c>
      <c r="P14" s="368" t="str">
        <f>IF(AND(K14&gt;K13,K14-2+1='Pro Forma Detail'!D$66),E11,)</f>
        <v/>
      </c>
      <c r="Q14" s="369" t="str">
        <f t="shared" si="11"/>
        <v/>
      </c>
      <c r="R14" s="370">
        <f t="shared" si="12"/>
        <v>0</v>
      </c>
      <c r="S14" s="370">
        <f t="shared" si="13"/>
        <v>0</v>
      </c>
      <c r="T14" s="1"/>
    </row>
    <row r="15" ht="12.75" customHeight="1">
      <c r="A15" s="1">
        <v>4.0</v>
      </c>
      <c r="B15" s="408">
        <f t="shared" si="5"/>
        <v>632773.8305</v>
      </c>
      <c r="C15" s="408">
        <f t="shared" si="6"/>
        <v>353295.6941</v>
      </c>
      <c r="D15" s="409">
        <f t="shared" si="7"/>
        <v>279478.1365</v>
      </c>
      <c r="E15" s="176">
        <f t="shared" si="8"/>
        <v>153885915.7</v>
      </c>
      <c r="F15" s="408">
        <f t="shared" si="14"/>
        <v>1417010.974</v>
      </c>
      <c r="G15" s="408">
        <f t="shared" si="15"/>
        <v>2531095.322</v>
      </c>
      <c r="H15" s="410">
        <f t="shared" si="16"/>
        <v>0.0275</v>
      </c>
      <c r="I15" s="1">
        <f t="shared" si="1"/>
        <v>4</v>
      </c>
      <c r="J15" s="406">
        <f t="shared" si="17"/>
        <v>44287</v>
      </c>
      <c r="K15" s="105">
        <f t="shared" si="9"/>
        <v>1</v>
      </c>
      <c r="L15" s="411">
        <f t="shared" si="10"/>
        <v>632773.8305</v>
      </c>
      <c r="M15" s="407">
        <f t="shared" si="2"/>
        <v>279478.1365</v>
      </c>
      <c r="N15" s="407">
        <f t="shared" si="3"/>
        <v>353295.6941</v>
      </c>
      <c r="O15" s="407">
        <f t="shared" si="4"/>
        <v>153885915.7</v>
      </c>
      <c r="P15" s="368" t="str">
        <f>IF(AND(K15&gt;K14,K15-2+1='Pro Forma Detail'!D$66),E12,)</f>
        <v/>
      </c>
      <c r="Q15" s="369" t="str">
        <f t="shared" si="11"/>
        <v/>
      </c>
      <c r="R15" s="370">
        <f t="shared" si="12"/>
        <v>0</v>
      </c>
      <c r="S15" s="370">
        <f t="shared" si="13"/>
        <v>0</v>
      </c>
      <c r="T15" s="1"/>
    </row>
    <row r="16" ht="12.75" customHeight="1">
      <c r="A16" s="1">
        <v>5.0</v>
      </c>
      <c r="B16" s="408">
        <f t="shared" si="5"/>
        <v>632773.8305</v>
      </c>
      <c r="C16" s="408">
        <f t="shared" si="6"/>
        <v>352655.2234</v>
      </c>
      <c r="D16" s="409">
        <f t="shared" si="7"/>
        <v>280118.6072</v>
      </c>
      <c r="E16" s="176">
        <f t="shared" si="8"/>
        <v>153605797</v>
      </c>
      <c r="F16" s="408">
        <f t="shared" si="14"/>
        <v>1769666.197</v>
      </c>
      <c r="G16" s="408">
        <f t="shared" si="15"/>
        <v>3163869.153</v>
      </c>
      <c r="H16" s="410">
        <f t="shared" si="16"/>
        <v>0.0275</v>
      </c>
      <c r="I16" s="1">
        <f t="shared" si="1"/>
        <v>5</v>
      </c>
      <c r="J16" s="406">
        <f t="shared" si="17"/>
        <v>44317</v>
      </c>
      <c r="K16" s="105">
        <f t="shared" si="9"/>
        <v>1</v>
      </c>
      <c r="L16" s="411">
        <f t="shared" si="10"/>
        <v>632773.8305</v>
      </c>
      <c r="M16" s="407">
        <f t="shared" si="2"/>
        <v>280118.6072</v>
      </c>
      <c r="N16" s="407">
        <f t="shared" si="3"/>
        <v>352655.2234</v>
      </c>
      <c r="O16" s="407">
        <f t="shared" si="4"/>
        <v>153605797</v>
      </c>
      <c r="P16" s="368" t="str">
        <f>IF(AND(K16&gt;K15,K16-2+1='Pro Forma Detail'!D$66),E13,)</f>
        <v/>
      </c>
      <c r="Q16" s="369" t="str">
        <f t="shared" si="11"/>
        <v/>
      </c>
      <c r="R16" s="370">
        <f t="shared" si="12"/>
        <v>0</v>
      </c>
      <c r="S16" s="370">
        <f t="shared" si="13"/>
        <v>0</v>
      </c>
      <c r="T16" s="1"/>
    </row>
    <row r="17" ht="12.75" customHeight="1">
      <c r="A17" s="1">
        <v>6.0</v>
      </c>
      <c r="B17" s="408">
        <f t="shared" si="5"/>
        <v>632773.8305</v>
      </c>
      <c r="C17" s="408">
        <f t="shared" si="6"/>
        <v>352013.2849</v>
      </c>
      <c r="D17" s="409">
        <f t="shared" si="7"/>
        <v>280760.5457</v>
      </c>
      <c r="E17" s="176">
        <f t="shared" si="8"/>
        <v>153325036.5</v>
      </c>
      <c r="F17" s="408">
        <f t="shared" si="14"/>
        <v>2121679.482</v>
      </c>
      <c r="G17" s="408">
        <f t="shared" si="15"/>
        <v>3796642.983</v>
      </c>
      <c r="H17" s="410">
        <f t="shared" si="16"/>
        <v>0.0275</v>
      </c>
      <c r="I17" s="1">
        <f t="shared" si="1"/>
        <v>6</v>
      </c>
      <c r="J17" s="406">
        <f t="shared" si="17"/>
        <v>44348</v>
      </c>
      <c r="K17" s="105">
        <f t="shared" si="9"/>
        <v>1</v>
      </c>
      <c r="L17" s="411">
        <f t="shared" si="10"/>
        <v>632773.8305</v>
      </c>
      <c r="M17" s="407">
        <f t="shared" si="2"/>
        <v>280760.5457</v>
      </c>
      <c r="N17" s="407">
        <f t="shared" si="3"/>
        <v>352013.2849</v>
      </c>
      <c r="O17" s="407">
        <f t="shared" si="4"/>
        <v>153325036.5</v>
      </c>
      <c r="P17" s="368" t="str">
        <f>IF(AND(K17&gt;K16,K17-2+1='Pro Forma Detail'!D$66),E14,)</f>
        <v/>
      </c>
      <c r="Q17" s="369" t="str">
        <f t="shared" si="11"/>
        <v/>
      </c>
      <c r="R17" s="370">
        <f t="shared" si="12"/>
        <v>0</v>
      </c>
      <c r="S17" s="370">
        <f t="shared" si="13"/>
        <v>0</v>
      </c>
      <c r="T17" s="1"/>
    </row>
    <row r="18" ht="12.75" customHeight="1">
      <c r="A18" s="1">
        <v>7.0</v>
      </c>
      <c r="B18" s="408">
        <f t="shared" si="5"/>
        <v>632773.8305</v>
      </c>
      <c r="C18" s="408">
        <f t="shared" si="6"/>
        <v>351369.8753</v>
      </c>
      <c r="D18" s="409">
        <f t="shared" si="7"/>
        <v>281403.9552</v>
      </c>
      <c r="E18" s="176">
        <f t="shared" si="8"/>
        <v>153043632.5</v>
      </c>
      <c r="F18" s="408">
        <f t="shared" si="14"/>
        <v>2473049.357</v>
      </c>
      <c r="G18" s="408">
        <f t="shared" si="15"/>
        <v>4429416.814</v>
      </c>
      <c r="H18" s="410">
        <f t="shared" si="16"/>
        <v>0.0275</v>
      </c>
      <c r="I18" s="1">
        <f t="shared" si="1"/>
        <v>7</v>
      </c>
      <c r="J18" s="406">
        <f t="shared" si="17"/>
        <v>44378</v>
      </c>
      <c r="K18" s="105">
        <f t="shared" si="9"/>
        <v>1</v>
      </c>
      <c r="L18" s="411">
        <f t="shared" si="10"/>
        <v>632773.8305</v>
      </c>
      <c r="M18" s="407">
        <f t="shared" si="2"/>
        <v>281403.9552</v>
      </c>
      <c r="N18" s="407">
        <f t="shared" si="3"/>
        <v>351369.8753</v>
      </c>
      <c r="O18" s="407">
        <f t="shared" si="4"/>
        <v>153043632.5</v>
      </c>
      <c r="P18" s="368" t="str">
        <f>IF(AND(K18&gt;K17,K18-2+1='Pro Forma Detail'!D$66),E15,)</f>
        <v/>
      </c>
      <c r="Q18" s="369" t="str">
        <f t="shared" si="11"/>
        <v/>
      </c>
      <c r="R18" s="370">
        <f t="shared" si="12"/>
        <v>0</v>
      </c>
      <c r="S18" s="370">
        <f t="shared" si="13"/>
        <v>0</v>
      </c>
      <c r="T18" s="1"/>
    </row>
    <row r="19" ht="12.75" customHeight="1">
      <c r="A19" s="1">
        <v>8.0</v>
      </c>
      <c r="B19" s="408">
        <f t="shared" si="5"/>
        <v>632773.8305</v>
      </c>
      <c r="C19" s="408">
        <f t="shared" si="6"/>
        <v>350724.9912</v>
      </c>
      <c r="D19" s="409">
        <f t="shared" si="7"/>
        <v>282048.8393</v>
      </c>
      <c r="E19" s="176">
        <f t="shared" si="8"/>
        <v>152761583.7</v>
      </c>
      <c r="F19" s="408">
        <f t="shared" si="14"/>
        <v>2823774.348</v>
      </c>
      <c r="G19" s="408">
        <f t="shared" si="15"/>
        <v>5062190.644</v>
      </c>
      <c r="H19" s="410">
        <f t="shared" si="16"/>
        <v>0.0275</v>
      </c>
      <c r="I19" s="1">
        <f t="shared" si="1"/>
        <v>8</v>
      </c>
      <c r="J19" s="406">
        <f t="shared" si="17"/>
        <v>44409</v>
      </c>
      <c r="K19" s="105">
        <f t="shared" si="9"/>
        <v>1</v>
      </c>
      <c r="L19" s="411">
        <f t="shared" si="10"/>
        <v>632773.8305</v>
      </c>
      <c r="M19" s="407">
        <f t="shared" si="2"/>
        <v>282048.8393</v>
      </c>
      <c r="N19" s="407">
        <f t="shared" si="3"/>
        <v>350724.9912</v>
      </c>
      <c r="O19" s="407">
        <f t="shared" si="4"/>
        <v>152761583.7</v>
      </c>
      <c r="P19" s="368" t="str">
        <f>IF(AND(K19&gt;K18,K19-2+1='Pro Forma Detail'!D$66),E16,)</f>
        <v/>
      </c>
      <c r="Q19" s="369" t="str">
        <f t="shared" si="11"/>
        <v/>
      </c>
      <c r="R19" s="370">
        <f t="shared" si="12"/>
        <v>0</v>
      </c>
      <c r="S19" s="370">
        <f t="shared" si="13"/>
        <v>0</v>
      </c>
      <c r="T19" s="1"/>
    </row>
    <row r="20" ht="12.75" customHeight="1">
      <c r="A20" s="1">
        <v>9.0</v>
      </c>
      <c r="B20" s="408">
        <f t="shared" si="5"/>
        <v>632773.8305</v>
      </c>
      <c r="C20" s="408">
        <f t="shared" si="6"/>
        <v>350078.6293</v>
      </c>
      <c r="D20" s="409">
        <f t="shared" si="7"/>
        <v>282695.2012</v>
      </c>
      <c r="E20" s="176">
        <f t="shared" si="8"/>
        <v>152478888.5</v>
      </c>
      <c r="F20" s="408">
        <f t="shared" si="14"/>
        <v>3173852.978</v>
      </c>
      <c r="G20" s="408">
        <f t="shared" si="15"/>
        <v>5694964.475</v>
      </c>
      <c r="H20" s="410">
        <f t="shared" si="16"/>
        <v>0.0275</v>
      </c>
      <c r="I20" s="1">
        <f t="shared" si="1"/>
        <v>9</v>
      </c>
      <c r="J20" s="406">
        <f t="shared" si="17"/>
        <v>44440</v>
      </c>
      <c r="K20" s="105">
        <f t="shared" si="9"/>
        <v>1</v>
      </c>
      <c r="L20" s="411">
        <f t="shared" si="10"/>
        <v>632773.8305</v>
      </c>
      <c r="M20" s="407">
        <f t="shared" si="2"/>
        <v>282695.2012</v>
      </c>
      <c r="N20" s="407">
        <f t="shared" si="3"/>
        <v>350078.6293</v>
      </c>
      <c r="O20" s="407">
        <f t="shared" si="4"/>
        <v>152478888.5</v>
      </c>
      <c r="P20" s="368" t="str">
        <f>IF(AND(K20&gt;K19,K20-2+1='Pro Forma Detail'!D$66),E17,)</f>
        <v/>
      </c>
      <c r="Q20" s="369" t="str">
        <f t="shared" si="11"/>
        <v/>
      </c>
      <c r="R20" s="370">
        <f t="shared" si="12"/>
        <v>0</v>
      </c>
      <c r="S20" s="370">
        <f t="shared" si="13"/>
        <v>0</v>
      </c>
      <c r="T20" s="1"/>
    </row>
    <row r="21" ht="12.75" customHeight="1">
      <c r="A21" s="1">
        <v>10.0</v>
      </c>
      <c r="B21" s="408">
        <f t="shared" si="5"/>
        <v>632773.8305</v>
      </c>
      <c r="C21" s="408">
        <f t="shared" si="6"/>
        <v>349430.7862</v>
      </c>
      <c r="D21" s="409">
        <f t="shared" si="7"/>
        <v>283343.0444</v>
      </c>
      <c r="E21" s="176">
        <f t="shared" si="8"/>
        <v>152195545.5</v>
      </c>
      <c r="F21" s="408">
        <f t="shared" si="14"/>
        <v>3523283.764</v>
      </c>
      <c r="G21" s="408">
        <f t="shared" si="15"/>
        <v>6327738.305</v>
      </c>
      <c r="H21" s="410">
        <f t="shared" si="16"/>
        <v>0.0275</v>
      </c>
      <c r="I21" s="1">
        <f t="shared" si="1"/>
        <v>10</v>
      </c>
      <c r="J21" s="406">
        <f t="shared" si="17"/>
        <v>44470</v>
      </c>
      <c r="K21" s="105">
        <f t="shared" si="9"/>
        <v>1</v>
      </c>
      <c r="L21" s="411">
        <f t="shared" si="10"/>
        <v>632773.8305</v>
      </c>
      <c r="M21" s="407">
        <f t="shared" si="2"/>
        <v>283343.0444</v>
      </c>
      <c r="N21" s="407">
        <f t="shared" si="3"/>
        <v>349430.7862</v>
      </c>
      <c r="O21" s="407">
        <f t="shared" si="4"/>
        <v>152195545.5</v>
      </c>
      <c r="P21" s="368" t="str">
        <f>IF(AND(K21&gt;K20,K21-2+1='Pro Forma Detail'!D$66),E18,)</f>
        <v/>
      </c>
      <c r="Q21" s="369" t="str">
        <f t="shared" si="11"/>
        <v/>
      </c>
      <c r="R21" s="370">
        <f t="shared" si="12"/>
        <v>0</v>
      </c>
      <c r="S21" s="370">
        <f t="shared" si="13"/>
        <v>0</v>
      </c>
      <c r="T21" s="1"/>
    </row>
    <row r="22" ht="12.75" customHeight="1">
      <c r="A22" s="1">
        <v>11.0</v>
      </c>
      <c r="B22" s="408">
        <f t="shared" si="5"/>
        <v>632773.8305</v>
      </c>
      <c r="C22" s="408">
        <f t="shared" si="6"/>
        <v>348781.4583</v>
      </c>
      <c r="D22" s="409">
        <f t="shared" si="7"/>
        <v>283992.3722</v>
      </c>
      <c r="E22" s="176">
        <f t="shared" si="8"/>
        <v>151911553.1</v>
      </c>
      <c r="F22" s="408">
        <f t="shared" si="14"/>
        <v>3872065.222</v>
      </c>
      <c r="G22" s="408">
        <f t="shared" si="15"/>
        <v>6960512.136</v>
      </c>
      <c r="H22" s="410">
        <f t="shared" si="16"/>
        <v>0.0275</v>
      </c>
      <c r="I22" s="1">
        <f t="shared" si="1"/>
        <v>11</v>
      </c>
      <c r="J22" s="406">
        <f t="shared" si="17"/>
        <v>44501</v>
      </c>
      <c r="K22" s="105">
        <f t="shared" si="9"/>
        <v>1</v>
      </c>
      <c r="L22" s="411">
        <f t="shared" si="10"/>
        <v>632773.8305</v>
      </c>
      <c r="M22" s="407">
        <f t="shared" si="2"/>
        <v>283992.3722</v>
      </c>
      <c r="N22" s="407">
        <f t="shared" si="3"/>
        <v>348781.4583</v>
      </c>
      <c r="O22" s="407">
        <f t="shared" si="4"/>
        <v>151911553.1</v>
      </c>
      <c r="P22" s="368" t="str">
        <f>IF(AND(K22&gt;K21,K22-2+1='Pro Forma Detail'!D$66),E19,)</f>
        <v/>
      </c>
      <c r="Q22" s="369" t="str">
        <f t="shared" si="11"/>
        <v/>
      </c>
      <c r="R22" s="370">
        <f t="shared" si="12"/>
        <v>0</v>
      </c>
      <c r="S22" s="370">
        <f t="shared" si="13"/>
        <v>0</v>
      </c>
      <c r="T22" s="1"/>
    </row>
    <row r="23" ht="12.75" customHeight="1">
      <c r="A23" s="1">
        <v>12.0</v>
      </c>
      <c r="B23" s="408">
        <f t="shared" si="5"/>
        <v>632773.8305</v>
      </c>
      <c r="C23" s="408">
        <f t="shared" si="6"/>
        <v>348130.6425</v>
      </c>
      <c r="D23" s="409">
        <f t="shared" si="7"/>
        <v>284643.1881</v>
      </c>
      <c r="E23" s="176">
        <f t="shared" si="8"/>
        <v>151626909.9</v>
      </c>
      <c r="F23" s="408">
        <f t="shared" si="14"/>
        <v>4220195.865</v>
      </c>
      <c r="G23" s="408">
        <f t="shared" si="15"/>
        <v>7593285.967</v>
      </c>
      <c r="H23" s="410">
        <f t="shared" si="16"/>
        <v>0.0275</v>
      </c>
      <c r="I23" s="1">
        <f t="shared" si="1"/>
        <v>12</v>
      </c>
      <c r="J23" s="406">
        <f t="shared" si="17"/>
        <v>44531</v>
      </c>
      <c r="K23" s="105">
        <f t="shared" si="9"/>
        <v>1</v>
      </c>
      <c r="L23" s="411">
        <f t="shared" si="10"/>
        <v>632773.8305</v>
      </c>
      <c r="M23" s="407">
        <f t="shared" si="2"/>
        <v>284643.1881</v>
      </c>
      <c r="N23" s="407">
        <f t="shared" si="3"/>
        <v>348130.6425</v>
      </c>
      <c r="O23" s="407">
        <f t="shared" si="4"/>
        <v>151626909.9</v>
      </c>
      <c r="P23" s="368" t="str">
        <f>IF(AND(K23&gt;K22,K23-2+1='Pro Forma Detail'!D$66),E20,)</f>
        <v/>
      </c>
      <c r="Q23" s="369" t="str">
        <f t="shared" si="11"/>
        <v/>
      </c>
      <c r="R23" s="370">
        <f t="shared" si="12"/>
        <v>0</v>
      </c>
      <c r="S23" s="370">
        <f t="shared" si="13"/>
        <v>0</v>
      </c>
      <c r="T23" s="1"/>
    </row>
    <row r="24" ht="12.75" customHeight="1">
      <c r="A24" s="1">
        <v>13.0</v>
      </c>
      <c r="B24" s="408">
        <f t="shared" si="5"/>
        <v>632773.8305</v>
      </c>
      <c r="C24" s="408">
        <f t="shared" si="6"/>
        <v>347478.3352</v>
      </c>
      <c r="D24" s="409">
        <f t="shared" si="7"/>
        <v>285295.4954</v>
      </c>
      <c r="E24" s="176">
        <f t="shared" si="8"/>
        <v>151341614.4</v>
      </c>
      <c r="F24" s="408">
        <f t="shared" si="14"/>
        <v>4567674.2</v>
      </c>
      <c r="G24" s="408">
        <f t="shared" si="15"/>
        <v>8226059.797</v>
      </c>
      <c r="H24" s="410">
        <f t="shared" si="16"/>
        <v>0.0275</v>
      </c>
      <c r="I24" s="1">
        <f t="shared" si="1"/>
        <v>13</v>
      </c>
      <c r="J24" s="406">
        <f t="shared" si="17"/>
        <v>44562</v>
      </c>
      <c r="K24" s="105">
        <f t="shared" si="9"/>
        <v>2</v>
      </c>
      <c r="L24" s="411">
        <f t="shared" si="10"/>
        <v>632773.8305</v>
      </c>
      <c r="M24" s="407">
        <f t="shared" si="2"/>
        <v>285295.4954</v>
      </c>
      <c r="N24" s="407">
        <f t="shared" si="3"/>
        <v>347478.3352</v>
      </c>
      <c r="O24" s="407">
        <f t="shared" si="4"/>
        <v>151341614.4</v>
      </c>
      <c r="P24" s="368" t="str">
        <f>IF(AND(K24&gt;K23,K24-2+1='Pro Forma Detail'!D$66),E21,)</f>
        <v/>
      </c>
      <c r="Q24" s="369" t="str">
        <f t="shared" si="11"/>
        <v/>
      </c>
      <c r="R24" s="370">
        <f t="shared" si="12"/>
        <v>0</v>
      </c>
      <c r="S24" s="370">
        <f t="shared" si="13"/>
        <v>0</v>
      </c>
      <c r="T24" s="1"/>
    </row>
    <row r="25" ht="12.75" customHeight="1">
      <c r="A25" s="1">
        <v>14.0</v>
      </c>
      <c r="B25" s="408">
        <f t="shared" si="5"/>
        <v>632773.8305</v>
      </c>
      <c r="C25" s="408">
        <f t="shared" si="6"/>
        <v>346824.533</v>
      </c>
      <c r="D25" s="409">
        <f t="shared" si="7"/>
        <v>285949.2975</v>
      </c>
      <c r="E25" s="176">
        <f t="shared" si="8"/>
        <v>151055665.1</v>
      </c>
      <c r="F25" s="408">
        <f t="shared" si="14"/>
        <v>4914498.733</v>
      </c>
      <c r="G25" s="408">
        <f t="shared" si="15"/>
        <v>8858833.628</v>
      </c>
      <c r="H25" s="410">
        <f t="shared" si="16"/>
        <v>0.0275</v>
      </c>
      <c r="I25" s="1">
        <f t="shared" si="1"/>
        <v>14</v>
      </c>
      <c r="J25" s="406">
        <f t="shared" si="17"/>
        <v>44593</v>
      </c>
      <c r="K25" s="105">
        <f t="shared" si="9"/>
        <v>2</v>
      </c>
      <c r="L25" s="411">
        <f t="shared" si="10"/>
        <v>632773.8305</v>
      </c>
      <c r="M25" s="407">
        <f t="shared" si="2"/>
        <v>285949.2975</v>
      </c>
      <c r="N25" s="407">
        <f t="shared" si="3"/>
        <v>346824.533</v>
      </c>
      <c r="O25" s="407">
        <f t="shared" si="4"/>
        <v>151055665.1</v>
      </c>
      <c r="P25" s="368" t="str">
        <f>IF(AND(K25&gt;K24,K25-2+1='Pro Forma Detail'!D$66),E22,)</f>
        <v/>
      </c>
      <c r="Q25" s="369" t="str">
        <f t="shared" si="11"/>
        <v/>
      </c>
      <c r="R25" s="370">
        <f t="shared" si="12"/>
        <v>0</v>
      </c>
      <c r="S25" s="370">
        <f t="shared" si="13"/>
        <v>0</v>
      </c>
      <c r="T25" s="1"/>
    </row>
    <row r="26" ht="12.75" customHeight="1">
      <c r="A26" s="1">
        <v>15.0</v>
      </c>
      <c r="B26" s="408">
        <f t="shared" si="5"/>
        <v>632773.8305</v>
      </c>
      <c r="C26" s="408">
        <f t="shared" si="6"/>
        <v>346169.2325</v>
      </c>
      <c r="D26" s="409">
        <f t="shared" si="7"/>
        <v>286604.598</v>
      </c>
      <c r="E26" s="176">
        <f t="shared" si="8"/>
        <v>150769060.5</v>
      </c>
      <c r="F26" s="408">
        <f t="shared" si="14"/>
        <v>5260667.965</v>
      </c>
      <c r="G26" s="408">
        <f t="shared" si="15"/>
        <v>9491607.458</v>
      </c>
      <c r="H26" s="410">
        <f t="shared" si="16"/>
        <v>0.0275</v>
      </c>
      <c r="I26" s="1">
        <f t="shared" si="1"/>
        <v>15</v>
      </c>
      <c r="J26" s="406">
        <f t="shared" si="17"/>
        <v>44621</v>
      </c>
      <c r="K26" s="105">
        <f t="shared" si="9"/>
        <v>2</v>
      </c>
      <c r="L26" s="411">
        <f t="shared" si="10"/>
        <v>632773.8305</v>
      </c>
      <c r="M26" s="407">
        <f t="shared" si="2"/>
        <v>286604.598</v>
      </c>
      <c r="N26" s="407">
        <f t="shared" si="3"/>
        <v>346169.2325</v>
      </c>
      <c r="O26" s="407">
        <f t="shared" si="4"/>
        <v>150769060.5</v>
      </c>
      <c r="P26" s="368" t="str">
        <f>IF(AND(K26&gt;K25,K26-2+1='Pro Forma Detail'!D$66),E23,)</f>
        <v/>
      </c>
      <c r="Q26" s="369" t="str">
        <f t="shared" si="11"/>
        <v/>
      </c>
      <c r="R26" s="370">
        <f t="shared" si="12"/>
        <v>0</v>
      </c>
      <c r="S26" s="370">
        <f t="shared" si="13"/>
        <v>0</v>
      </c>
      <c r="T26" s="1"/>
    </row>
    <row r="27" ht="12.75" customHeight="1">
      <c r="A27" s="1">
        <v>16.0</v>
      </c>
      <c r="B27" s="408">
        <f t="shared" si="5"/>
        <v>632773.8305</v>
      </c>
      <c r="C27" s="408">
        <f t="shared" si="6"/>
        <v>345512.4303</v>
      </c>
      <c r="D27" s="409">
        <f t="shared" si="7"/>
        <v>287261.4002</v>
      </c>
      <c r="E27" s="176">
        <f t="shared" si="8"/>
        <v>150481799.1</v>
      </c>
      <c r="F27" s="408">
        <f t="shared" si="14"/>
        <v>5606180.396</v>
      </c>
      <c r="G27" s="408">
        <f t="shared" si="15"/>
        <v>10124381.29</v>
      </c>
      <c r="H27" s="410">
        <f t="shared" si="16"/>
        <v>0.0275</v>
      </c>
      <c r="I27" s="1">
        <f t="shared" si="1"/>
        <v>16</v>
      </c>
      <c r="J27" s="406">
        <f t="shared" si="17"/>
        <v>44652</v>
      </c>
      <c r="K27" s="105">
        <f t="shared" si="9"/>
        <v>2</v>
      </c>
      <c r="L27" s="411">
        <f t="shared" si="10"/>
        <v>632773.8305</v>
      </c>
      <c r="M27" s="407">
        <f t="shared" si="2"/>
        <v>287261.4002</v>
      </c>
      <c r="N27" s="407">
        <f t="shared" si="3"/>
        <v>345512.4303</v>
      </c>
      <c r="O27" s="407">
        <f t="shared" si="4"/>
        <v>150481799.1</v>
      </c>
      <c r="P27" s="368" t="str">
        <f>IF(AND(K27&gt;K26,K27-2+1='Pro Forma Detail'!D$66),E24,)</f>
        <v/>
      </c>
      <c r="Q27" s="369" t="str">
        <f t="shared" si="11"/>
        <v/>
      </c>
      <c r="R27" s="370">
        <f t="shared" si="12"/>
        <v>0</v>
      </c>
      <c r="S27" s="370">
        <f t="shared" si="13"/>
        <v>0</v>
      </c>
      <c r="T27" s="1"/>
    </row>
    <row r="28" ht="12.75" customHeight="1">
      <c r="A28" s="1">
        <v>17.0</v>
      </c>
      <c r="B28" s="408">
        <f t="shared" si="5"/>
        <v>632773.8305</v>
      </c>
      <c r="C28" s="408">
        <f t="shared" si="6"/>
        <v>344854.123</v>
      </c>
      <c r="D28" s="409">
        <f t="shared" si="7"/>
        <v>287919.7076</v>
      </c>
      <c r="E28" s="176">
        <f t="shared" si="8"/>
        <v>150193879.4</v>
      </c>
      <c r="F28" s="408">
        <f t="shared" si="14"/>
        <v>5951034.519</v>
      </c>
      <c r="G28" s="408">
        <f t="shared" si="15"/>
        <v>10757155.12</v>
      </c>
      <c r="H28" s="410">
        <f t="shared" si="16"/>
        <v>0.0275</v>
      </c>
      <c r="I28" s="1">
        <f t="shared" si="1"/>
        <v>17</v>
      </c>
      <c r="J28" s="406">
        <f t="shared" si="17"/>
        <v>44682</v>
      </c>
      <c r="K28" s="105">
        <f t="shared" si="9"/>
        <v>2</v>
      </c>
      <c r="L28" s="411">
        <f t="shared" si="10"/>
        <v>632773.8305</v>
      </c>
      <c r="M28" s="407">
        <f t="shared" si="2"/>
        <v>287919.7076</v>
      </c>
      <c r="N28" s="407">
        <f t="shared" si="3"/>
        <v>344854.123</v>
      </c>
      <c r="O28" s="407">
        <f t="shared" si="4"/>
        <v>150193879.4</v>
      </c>
      <c r="P28" s="368" t="str">
        <f>IF(AND(K28&gt;K27,K28-2+1='Pro Forma Detail'!D$66),E25,)</f>
        <v/>
      </c>
      <c r="Q28" s="369" t="str">
        <f t="shared" si="11"/>
        <v/>
      </c>
      <c r="R28" s="370">
        <f t="shared" si="12"/>
        <v>0</v>
      </c>
      <c r="S28" s="370">
        <f t="shared" si="13"/>
        <v>0</v>
      </c>
      <c r="T28" s="1"/>
    </row>
    <row r="29" ht="12.75" customHeight="1">
      <c r="A29" s="1">
        <v>18.0</v>
      </c>
      <c r="B29" s="408">
        <f t="shared" si="5"/>
        <v>632773.8305</v>
      </c>
      <c r="C29" s="408">
        <f t="shared" si="6"/>
        <v>344194.307</v>
      </c>
      <c r="D29" s="409">
        <f t="shared" si="7"/>
        <v>288579.5236</v>
      </c>
      <c r="E29" s="176">
        <f t="shared" si="8"/>
        <v>149905299.9</v>
      </c>
      <c r="F29" s="408">
        <f t="shared" si="14"/>
        <v>6295228.826</v>
      </c>
      <c r="G29" s="408">
        <f t="shared" si="15"/>
        <v>11389928.95</v>
      </c>
      <c r="H29" s="410">
        <f t="shared" si="16"/>
        <v>0.0275</v>
      </c>
      <c r="I29" s="1">
        <f t="shared" si="1"/>
        <v>18</v>
      </c>
      <c r="J29" s="406">
        <f t="shared" si="17"/>
        <v>44713</v>
      </c>
      <c r="K29" s="105">
        <f t="shared" si="9"/>
        <v>2</v>
      </c>
      <c r="L29" s="411">
        <f t="shared" si="10"/>
        <v>632773.8305</v>
      </c>
      <c r="M29" s="407">
        <f t="shared" si="2"/>
        <v>288579.5236</v>
      </c>
      <c r="N29" s="407">
        <f t="shared" si="3"/>
        <v>344194.307</v>
      </c>
      <c r="O29" s="407">
        <f t="shared" si="4"/>
        <v>149905299.9</v>
      </c>
      <c r="P29" s="368" t="str">
        <f>IF(AND(K29&gt;K28,K29-2+1='Pro Forma Detail'!D$66),E26,)</f>
        <v/>
      </c>
      <c r="Q29" s="369" t="str">
        <f t="shared" si="11"/>
        <v/>
      </c>
      <c r="R29" s="370">
        <f t="shared" si="12"/>
        <v>0</v>
      </c>
      <c r="S29" s="370">
        <f t="shared" si="13"/>
        <v>0</v>
      </c>
      <c r="T29" s="1"/>
    </row>
    <row r="30" ht="12.75" customHeight="1">
      <c r="A30" s="1">
        <v>19.0</v>
      </c>
      <c r="B30" s="408">
        <f t="shared" si="5"/>
        <v>632773.8305</v>
      </c>
      <c r="C30" s="408">
        <f t="shared" si="6"/>
        <v>343532.9789</v>
      </c>
      <c r="D30" s="409">
        <f t="shared" si="7"/>
        <v>289240.8517</v>
      </c>
      <c r="E30" s="176">
        <f t="shared" si="8"/>
        <v>149616059</v>
      </c>
      <c r="F30" s="408">
        <f t="shared" si="14"/>
        <v>6638761.805</v>
      </c>
      <c r="G30" s="408">
        <f t="shared" si="15"/>
        <v>12022702.78</v>
      </c>
      <c r="H30" s="410">
        <f t="shared" si="16"/>
        <v>0.0275</v>
      </c>
      <c r="I30" s="1">
        <f t="shared" si="1"/>
        <v>19</v>
      </c>
      <c r="J30" s="406">
        <f t="shared" si="17"/>
        <v>44743</v>
      </c>
      <c r="K30" s="105">
        <f t="shared" si="9"/>
        <v>2</v>
      </c>
      <c r="L30" s="411">
        <f t="shared" si="10"/>
        <v>632773.8305</v>
      </c>
      <c r="M30" s="407">
        <f t="shared" si="2"/>
        <v>289240.8517</v>
      </c>
      <c r="N30" s="407">
        <f t="shared" si="3"/>
        <v>343532.9789</v>
      </c>
      <c r="O30" s="407">
        <f t="shared" si="4"/>
        <v>149616059</v>
      </c>
      <c r="P30" s="368" t="str">
        <f>IF(AND(K30&gt;K29,K30-2+1='Pro Forma Detail'!D$66),E27,)</f>
        <v/>
      </c>
      <c r="Q30" s="369" t="str">
        <f t="shared" si="11"/>
        <v/>
      </c>
      <c r="R30" s="370">
        <f t="shared" si="12"/>
        <v>0</v>
      </c>
      <c r="S30" s="370">
        <f t="shared" si="13"/>
        <v>0</v>
      </c>
      <c r="T30" s="1"/>
    </row>
    <row r="31" ht="12.75" customHeight="1">
      <c r="A31" s="1">
        <v>20.0</v>
      </c>
      <c r="B31" s="408">
        <f t="shared" si="5"/>
        <v>632773.8305</v>
      </c>
      <c r="C31" s="408">
        <f t="shared" si="6"/>
        <v>342870.1353</v>
      </c>
      <c r="D31" s="409">
        <f t="shared" si="7"/>
        <v>289903.6953</v>
      </c>
      <c r="E31" s="176">
        <f t="shared" si="8"/>
        <v>149326155.3</v>
      </c>
      <c r="F31" s="408">
        <f t="shared" si="14"/>
        <v>6981631.94</v>
      </c>
      <c r="G31" s="408">
        <f t="shared" si="15"/>
        <v>12655476.61</v>
      </c>
      <c r="H31" s="410">
        <f t="shared" si="16"/>
        <v>0.0275</v>
      </c>
      <c r="I31" s="1">
        <f t="shared" si="1"/>
        <v>20</v>
      </c>
      <c r="J31" s="406">
        <f t="shared" si="17"/>
        <v>44774</v>
      </c>
      <c r="K31" s="105">
        <f t="shared" si="9"/>
        <v>2</v>
      </c>
      <c r="L31" s="411">
        <f t="shared" si="10"/>
        <v>632773.8305</v>
      </c>
      <c r="M31" s="407">
        <f t="shared" si="2"/>
        <v>289903.6953</v>
      </c>
      <c r="N31" s="407">
        <f t="shared" si="3"/>
        <v>342870.1353</v>
      </c>
      <c r="O31" s="407">
        <f t="shared" si="4"/>
        <v>149326155.3</v>
      </c>
      <c r="P31" s="368" t="str">
        <f>IF(AND(K31&gt;K30,K31-2+1='Pro Forma Detail'!D$66),E28,)</f>
        <v/>
      </c>
      <c r="Q31" s="369" t="str">
        <f t="shared" si="11"/>
        <v/>
      </c>
      <c r="R31" s="370">
        <f t="shared" si="12"/>
        <v>0</v>
      </c>
      <c r="S31" s="370">
        <f t="shared" si="13"/>
        <v>0</v>
      </c>
      <c r="T31" s="1"/>
    </row>
    <row r="32" ht="12.75" customHeight="1">
      <c r="A32" s="1">
        <v>21.0</v>
      </c>
      <c r="B32" s="408">
        <f t="shared" si="5"/>
        <v>632773.8305</v>
      </c>
      <c r="C32" s="408">
        <f t="shared" si="6"/>
        <v>342205.7726</v>
      </c>
      <c r="D32" s="409">
        <f t="shared" si="7"/>
        <v>290568.0579</v>
      </c>
      <c r="E32" s="176">
        <f t="shared" si="8"/>
        <v>149035587.3</v>
      </c>
      <c r="F32" s="408">
        <f t="shared" si="14"/>
        <v>7323837.712</v>
      </c>
      <c r="G32" s="408">
        <f t="shared" si="15"/>
        <v>13288250.44</v>
      </c>
      <c r="H32" s="410">
        <f t="shared" si="16"/>
        <v>0.0275</v>
      </c>
      <c r="I32" s="1">
        <f t="shared" si="1"/>
        <v>21</v>
      </c>
      <c r="J32" s="406">
        <f t="shared" si="17"/>
        <v>44805</v>
      </c>
      <c r="K32" s="105">
        <f t="shared" si="9"/>
        <v>2</v>
      </c>
      <c r="L32" s="411">
        <f t="shared" si="10"/>
        <v>632773.8305</v>
      </c>
      <c r="M32" s="407">
        <f t="shared" si="2"/>
        <v>290568.0579</v>
      </c>
      <c r="N32" s="407">
        <f t="shared" si="3"/>
        <v>342205.7726</v>
      </c>
      <c r="O32" s="407">
        <f t="shared" si="4"/>
        <v>149035587.3</v>
      </c>
      <c r="P32" s="368" t="str">
        <f>IF(AND(K32&gt;K31,K32-2+1='Pro Forma Detail'!D$66),E29,)</f>
        <v/>
      </c>
      <c r="Q32" s="369" t="str">
        <f t="shared" si="11"/>
        <v/>
      </c>
      <c r="R32" s="370">
        <f t="shared" si="12"/>
        <v>0</v>
      </c>
      <c r="S32" s="370">
        <f t="shared" si="13"/>
        <v>0</v>
      </c>
      <c r="T32" s="1"/>
    </row>
    <row r="33" ht="12.75" customHeight="1">
      <c r="A33" s="1">
        <v>22.0</v>
      </c>
      <c r="B33" s="408">
        <f t="shared" si="5"/>
        <v>632773.8305</v>
      </c>
      <c r="C33" s="408">
        <f t="shared" si="6"/>
        <v>341539.8875</v>
      </c>
      <c r="D33" s="409">
        <f t="shared" si="7"/>
        <v>291233.9431</v>
      </c>
      <c r="E33" s="176">
        <f t="shared" si="8"/>
        <v>148744353.3</v>
      </c>
      <c r="F33" s="408">
        <f t="shared" si="14"/>
        <v>7665377.6</v>
      </c>
      <c r="G33" s="408">
        <f t="shared" si="15"/>
        <v>13921024.27</v>
      </c>
      <c r="H33" s="410">
        <f t="shared" si="16"/>
        <v>0.0275</v>
      </c>
      <c r="I33" s="1">
        <f t="shared" si="1"/>
        <v>22</v>
      </c>
      <c r="J33" s="406">
        <f t="shared" si="17"/>
        <v>44835</v>
      </c>
      <c r="K33" s="105">
        <f t="shared" si="9"/>
        <v>2</v>
      </c>
      <c r="L33" s="411">
        <f t="shared" si="10"/>
        <v>632773.8305</v>
      </c>
      <c r="M33" s="407">
        <f t="shared" si="2"/>
        <v>291233.9431</v>
      </c>
      <c r="N33" s="407">
        <f t="shared" si="3"/>
        <v>341539.8875</v>
      </c>
      <c r="O33" s="407">
        <f t="shared" si="4"/>
        <v>148744353.3</v>
      </c>
      <c r="P33" s="368" t="str">
        <f>IF(AND(K33&gt;K32,K33-2+1='Pro Forma Detail'!D$66),E30,)</f>
        <v/>
      </c>
      <c r="Q33" s="369" t="str">
        <f t="shared" si="11"/>
        <v/>
      </c>
      <c r="R33" s="370">
        <f t="shared" si="12"/>
        <v>0</v>
      </c>
      <c r="S33" s="370">
        <f t="shared" si="13"/>
        <v>0</v>
      </c>
      <c r="T33" s="1"/>
    </row>
    <row r="34" ht="12.75" customHeight="1">
      <c r="A34" s="1">
        <v>23.0</v>
      </c>
      <c r="B34" s="408">
        <f t="shared" si="5"/>
        <v>632773.8305</v>
      </c>
      <c r="C34" s="408">
        <f t="shared" si="6"/>
        <v>340872.4764</v>
      </c>
      <c r="D34" s="409">
        <f t="shared" si="7"/>
        <v>291901.3542</v>
      </c>
      <c r="E34" s="176">
        <f t="shared" si="8"/>
        <v>148452452</v>
      </c>
      <c r="F34" s="408">
        <f t="shared" si="14"/>
        <v>8006250.076</v>
      </c>
      <c r="G34" s="408">
        <f t="shared" si="15"/>
        <v>14553798.1</v>
      </c>
      <c r="H34" s="410">
        <f t="shared" si="16"/>
        <v>0.0275</v>
      </c>
      <c r="I34" s="1">
        <f t="shared" si="1"/>
        <v>23</v>
      </c>
      <c r="J34" s="406">
        <f t="shared" si="17"/>
        <v>44866</v>
      </c>
      <c r="K34" s="105">
        <f t="shared" si="9"/>
        <v>2</v>
      </c>
      <c r="L34" s="411">
        <f t="shared" si="10"/>
        <v>632773.8305</v>
      </c>
      <c r="M34" s="407">
        <f t="shared" si="2"/>
        <v>291901.3542</v>
      </c>
      <c r="N34" s="407">
        <f t="shared" si="3"/>
        <v>340872.4764</v>
      </c>
      <c r="O34" s="407">
        <f t="shared" si="4"/>
        <v>148452452</v>
      </c>
      <c r="P34" s="368" t="str">
        <f>IF(AND(K34&gt;K33,K34-2+1='Pro Forma Detail'!D$66),E31,)</f>
        <v/>
      </c>
      <c r="Q34" s="369" t="str">
        <f t="shared" si="11"/>
        <v/>
      </c>
      <c r="R34" s="370">
        <f t="shared" si="12"/>
        <v>0</v>
      </c>
      <c r="S34" s="370">
        <f t="shared" si="13"/>
        <v>0</v>
      </c>
      <c r="T34" s="1"/>
    </row>
    <row r="35" ht="12.75" customHeight="1">
      <c r="A35" s="1">
        <v>24.0</v>
      </c>
      <c r="B35" s="408">
        <f t="shared" si="5"/>
        <v>632773.8305</v>
      </c>
      <c r="C35" s="408">
        <f t="shared" si="6"/>
        <v>340203.5358</v>
      </c>
      <c r="D35" s="409">
        <f t="shared" si="7"/>
        <v>292570.2948</v>
      </c>
      <c r="E35" s="176">
        <f t="shared" si="8"/>
        <v>148159881.7</v>
      </c>
      <c r="F35" s="408">
        <f t="shared" si="14"/>
        <v>8346453.612</v>
      </c>
      <c r="G35" s="408">
        <f t="shared" si="15"/>
        <v>15186571.93</v>
      </c>
      <c r="H35" s="410">
        <f t="shared" si="16"/>
        <v>0.0275</v>
      </c>
      <c r="I35" s="1">
        <f t="shared" si="1"/>
        <v>24</v>
      </c>
      <c r="J35" s="406">
        <f t="shared" si="17"/>
        <v>44896</v>
      </c>
      <c r="K35" s="105">
        <f t="shared" si="9"/>
        <v>2</v>
      </c>
      <c r="L35" s="411">
        <f t="shared" si="10"/>
        <v>632773.8305</v>
      </c>
      <c r="M35" s="407">
        <f t="shared" si="2"/>
        <v>292570.2948</v>
      </c>
      <c r="N35" s="407">
        <f t="shared" si="3"/>
        <v>340203.5358</v>
      </c>
      <c r="O35" s="407">
        <f t="shared" si="4"/>
        <v>148159881.7</v>
      </c>
      <c r="P35" s="368" t="str">
        <f>IF(AND(K35&gt;K34,K35-2+1='Pro Forma Detail'!D$66),E32,)</f>
        <v/>
      </c>
      <c r="Q35" s="369" t="str">
        <f t="shared" si="11"/>
        <v/>
      </c>
      <c r="R35" s="370">
        <f t="shared" si="12"/>
        <v>0</v>
      </c>
      <c r="S35" s="370">
        <f t="shared" si="13"/>
        <v>0</v>
      </c>
      <c r="T35" s="1"/>
    </row>
    <row r="36" ht="12.75" customHeight="1">
      <c r="A36" s="1">
        <v>25.0</v>
      </c>
      <c r="B36" s="408">
        <f t="shared" si="5"/>
        <v>632773.8305</v>
      </c>
      <c r="C36" s="408">
        <f t="shared" si="6"/>
        <v>339533.0622</v>
      </c>
      <c r="D36" s="409">
        <f t="shared" si="7"/>
        <v>293240.7684</v>
      </c>
      <c r="E36" s="176">
        <f t="shared" si="8"/>
        <v>147866640.9</v>
      </c>
      <c r="F36" s="408">
        <f t="shared" si="14"/>
        <v>8685986.674</v>
      </c>
      <c r="G36" s="408">
        <f t="shared" si="15"/>
        <v>15819345.76</v>
      </c>
      <c r="H36" s="410">
        <f t="shared" si="16"/>
        <v>0.0275</v>
      </c>
      <c r="I36" s="1">
        <f t="shared" si="1"/>
        <v>25</v>
      </c>
      <c r="J36" s="406">
        <f t="shared" si="17"/>
        <v>44927</v>
      </c>
      <c r="K36" s="105">
        <f t="shared" si="9"/>
        <v>3</v>
      </c>
      <c r="L36" s="411">
        <f t="shared" si="10"/>
        <v>632773.8305</v>
      </c>
      <c r="M36" s="407">
        <f t="shared" si="2"/>
        <v>293240.7684</v>
      </c>
      <c r="N36" s="407">
        <f t="shared" si="3"/>
        <v>339533.0622</v>
      </c>
      <c r="O36" s="407">
        <f t="shared" si="4"/>
        <v>147866640.9</v>
      </c>
      <c r="P36" s="368" t="str">
        <f>IF(AND(K36&gt;K35,K36-2+1='Pro Forma Detail'!D$66),E33,)</f>
        <v/>
      </c>
      <c r="Q36" s="369" t="str">
        <f t="shared" si="11"/>
        <v/>
      </c>
      <c r="R36" s="370">
        <f t="shared" si="12"/>
        <v>0</v>
      </c>
      <c r="S36" s="370">
        <f t="shared" si="13"/>
        <v>0</v>
      </c>
      <c r="T36" s="1"/>
    </row>
    <row r="37" ht="12.75" customHeight="1">
      <c r="A37" s="1">
        <v>26.0</v>
      </c>
      <c r="B37" s="408">
        <f t="shared" si="5"/>
        <v>632773.8305</v>
      </c>
      <c r="C37" s="408">
        <f t="shared" si="6"/>
        <v>338861.0521</v>
      </c>
      <c r="D37" s="409">
        <f t="shared" si="7"/>
        <v>293912.7785</v>
      </c>
      <c r="E37" s="176">
        <f t="shared" si="8"/>
        <v>147572728.1</v>
      </c>
      <c r="F37" s="408">
        <f t="shared" si="14"/>
        <v>9024847.726</v>
      </c>
      <c r="G37" s="408">
        <f t="shared" si="15"/>
        <v>16452119.59</v>
      </c>
      <c r="H37" s="410">
        <f t="shared" si="16"/>
        <v>0.0275</v>
      </c>
      <c r="I37" s="1">
        <f t="shared" si="1"/>
        <v>26</v>
      </c>
      <c r="J37" s="406">
        <f t="shared" si="17"/>
        <v>44958</v>
      </c>
      <c r="K37" s="105">
        <f t="shared" si="9"/>
        <v>3</v>
      </c>
      <c r="L37" s="411">
        <f t="shared" si="10"/>
        <v>632773.8305</v>
      </c>
      <c r="M37" s="407">
        <f t="shared" si="2"/>
        <v>293912.7785</v>
      </c>
      <c r="N37" s="407">
        <f t="shared" si="3"/>
        <v>338861.0521</v>
      </c>
      <c r="O37" s="407">
        <f t="shared" si="4"/>
        <v>147572728.1</v>
      </c>
      <c r="P37" s="368" t="str">
        <f>IF(AND(K37&gt;K36,K37-2+1='Pro Forma Detail'!D$66),E34,)</f>
        <v/>
      </c>
      <c r="Q37" s="369" t="str">
        <f t="shared" si="11"/>
        <v/>
      </c>
      <c r="R37" s="370">
        <f t="shared" si="12"/>
        <v>0</v>
      </c>
      <c r="S37" s="370">
        <f t="shared" si="13"/>
        <v>0</v>
      </c>
      <c r="T37" s="1"/>
    </row>
    <row r="38" ht="12.75" customHeight="1">
      <c r="A38" s="1">
        <v>27.0</v>
      </c>
      <c r="B38" s="408">
        <f t="shared" si="5"/>
        <v>632773.8305</v>
      </c>
      <c r="C38" s="408">
        <f t="shared" si="6"/>
        <v>338187.502</v>
      </c>
      <c r="D38" s="409">
        <f t="shared" si="7"/>
        <v>294586.3286</v>
      </c>
      <c r="E38" s="176">
        <f t="shared" si="8"/>
        <v>147278141.8</v>
      </c>
      <c r="F38" s="408">
        <f t="shared" si="14"/>
        <v>9363035.228</v>
      </c>
      <c r="G38" s="408">
        <f t="shared" si="15"/>
        <v>17084893.42</v>
      </c>
      <c r="H38" s="410">
        <f t="shared" si="16"/>
        <v>0.0275</v>
      </c>
      <c r="I38" s="1">
        <f t="shared" si="1"/>
        <v>27</v>
      </c>
      <c r="J38" s="406">
        <f t="shared" si="17"/>
        <v>44986</v>
      </c>
      <c r="K38" s="105">
        <f t="shared" si="9"/>
        <v>3</v>
      </c>
      <c r="L38" s="411">
        <f t="shared" si="10"/>
        <v>632773.8305</v>
      </c>
      <c r="M38" s="407">
        <f t="shared" si="2"/>
        <v>294586.3286</v>
      </c>
      <c r="N38" s="407">
        <f t="shared" si="3"/>
        <v>338187.502</v>
      </c>
      <c r="O38" s="407">
        <f t="shared" si="4"/>
        <v>147278141.8</v>
      </c>
      <c r="P38" s="368" t="str">
        <f>IF(AND(K38&gt;K37,K38-2+1='Pro Forma Detail'!D$66),E35,)</f>
        <v/>
      </c>
      <c r="Q38" s="369" t="str">
        <f t="shared" si="11"/>
        <v/>
      </c>
      <c r="R38" s="370">
        <f t="shared" si="12"/>
        <v>0</v>
      </c>
      <c r="S38" s="370">
        <f t="shared" si="13"/>
        <v>0</v>
      </c>
      <c r="T38" s="1"/>
    </row>
    <row r="39" ht="12.75" customHeight="1">
      <c r="A39" s="1">
        <v>28.0</v>
      </c>
      <c r="B39" s="408">
        <f t="shared" si="5"/>
        <v>632773.8305</v>
      </c>
      <c r="C39" s="408">
        <f t="shared" si="6"/>
        <v>337512.4083</v>
      </c>
      <c r="D39" s="409">
        <f t="shared" si="7"/>
        <v>295261.4222</v>
      </c>
      <c r="E39" s="176">
        <f t="shared" si="8"/>
        <v>146982880.4</v>
      </c>
      <c r="F39" s="408">
        <f t="shared" si="14"/>
        <v>9700547.637</v>
      </c>
      <c r="G39" s="408">
        <f t="shared" si="15"/>
        <v>17717667.26</v>
      </c>
      <c r="H39" s="410">
        <f t="shared" si="16"/>
        <v>0.0275</v>
      </c>
      <c r="I39" s="1">
        <f t="shared" si="1"/>
        <v>28</v>
      </c>
      <c r="J39" s="406">
        <f t="shared" si="17"/>
        <v>45017</v>
      </c>
      <c r="K39" s="105">
        <f t="shared" si="9"/>
        <v>3</v>
      </c>
      <c r="L39" s="411">
        <f t="shared" si="10"/>
        <v>632773.8305</v>
      </c>
      <c r="M39" s="407">
        <f t="shared" si="2"/>
        <v>295261.4222</v>
      </c>
      <c r="N39" s="407">
        <f t="shared" si="3"/>
        <v>337512.4083</v>
      </c>
      <c r="O39" s="407">
        <f t="shared" si="4"/>
        <v>146982880.4</v>
      </c>
      <c r="P39" s="368" t="str">
        <f>IF(AND(K39&gt;K38,K39-2+1='Pro Forma Detail'!D$66),E36,)</f>
        <v/>
      </c>
      <c r="Q39" s="369" t="str">
        <f t="shared" si="11"/>
        <v/>
      </c>
      <c r="R39" s="370">
        <f t="shared" si="12"/>
        <v>0</v>
      </c>
      <c r="S39" s="370">
        <f t="shared" si="13"/>
        <v>0</v>
      </c>
      <c r="T39" s="1"/>
    </row>
    <row r="40" ht="12.75" customHeight="1">
      <c r="A40" s="1">
        <v>29.0</v>
      </c>
      <c r="B40" s="408">
        <f t="shared" si="5"/>
        <v>632773.8305</v>
      </c>
      <c r="C40" s="408">
        <f t="shared" si="6"/>
        <v>336835.7675</v>
      </c>
      <c r="D40" s="409">
        <f t="shared" si="7"/>
        <v>295938.063</v>
      </c>
      <c r="E40" s="176">
        <f t="shared" si="8"/>
        <v>146686942.3</v>
      </c>
      <c r="F40" s="408">
        <f t="shared" si="14"/>
        <v>10037383.4</v>
      </c>
      <c r="G40" s="408">
        <f t="shared" si="15"/>
        <v>18350441.09</v>
      </c>
      <c r="H40" s="410">
        <f t="shared" si="16"/>
        <v>0.0275</v>
      </c>
      <c r="I40" s="1">
        <f t="shared" si="1"/>
        <v>29</v>
      </c>
      <c r="J40" s="406">
        <f t="shared" si="17"/>
        <v>45047</v>
      </c>
      <c r="K40" s="105">
        <f t="shared" si="9"/>
        <v>3</v>
      </c>
      <c r="L40" s="411">
        <f t="shared" si="10"/>
        <v>632773.8305</v>
      </c>
      <c r="M40" s="407">
        <f t="shared" si="2"/>
        <v>295938.063</v>
      </c>
      <c r="N40" s="407">
        <f t="shared" si="3"/>
        <v>336835.7675</v>
      </c>
      <c r="O40" s="407">
        <f t="shared" si="4"/>
        <v>146686942.3</v>
      </c>
      <c r="P40" s="368" t="str">
        <f>IF(AND(K40&gt;K39,K40-2+1='Pro Forma Detail'!D$66),E37,)</f>
        <v/>
      </c>
      <c r="Q40" s="369" t="str">
        <f t="shared" si="11"/>
        <v/>
      </c>
      <c r="R40" s="370">
        <f t="shared" si="12"/>
        <v>0</v>
      </c>
      <c r="S40" s="370">
        <f t="shared" si="13"/>
        <v>0</v>
      </c>
      <c r="T40" s="1"/>
    </row>
    <row r="41" ht="12.75" customHeight="1">
      <c r="A41" s="1">
        <v>30.0</v>
      </c>
      <c r="B41" s="408">
        <f t="shared" si="5"/>
        <v>632773.8305</v>
      </c>
      <c r="C41" s="408">
        <f t="shared" si="6"/>
        <v>336157.5761</v>
      </c>
      <c r="D41" s="409">
        <f t="shared" si="7"/>
        <v>296616.2544</v>
      </c>
      <c r="E41" s="176">
        <f t="shared" si="8"/>
        <v>146390326.1</v>
      </c>
      <c r="F41" s="408">
        <f t="shared" si="14"/>
        <v>10373540.98</v>
      </c>
      <c r="G41" s="408">
        <f t="shared" si="15"/>
        <v>18983214.92</v>
      </c>
      <c r="H41" s="410">
        <f t="shared" si="16"/>
        <v>0.0275</v>
      </c>
      <c r="I41" s="1">
        <f t="shared" si="1"/>
        <v>30</v>
      </c>
      <c r="J41" s="406">
        <f t="shared" si="17"/>
        <v>45078</v>
      </c>
      <c r="K41" s="105">
        <f t="shared" si="9"/>
        <v>3</v>
      </c>
      <c r="L41" s="411">
        <f t="shared" si="10"/>
        <v>632773.8305</v>
      </c>
      <c r="M41" s="407">
        <f t="shared" si="2"/>
        <v>296616.2544</v>
      </c>
      <c r="N41" s="407">
        <f t="shared" si="3"/>
        <v>336157.5761</v>
      </c>
      <c r="O41" s="407">
        <f t="shared" si="4"/>
        <v>146390326.1</v>
      </c>
      <c r="P41" s="368" t="str">
        <f>IF(AND(K41&gt;K40,K41-2+1='Pro Forma Detail'!D$66),E38,)</f>
        <v/>
      </c>
      <c r="Q41" s="369" t="str">
        <f t="shared" si="11"/>
        <v/>
      </c>
      <c r="R41" s="370">
        <f t="shared" si="12"/>
        <v>0</v>
      </c>
      <c r="S41" s="370">
        <f t="shared" si="13"/>
        <v>0</v>
      </c>
      <c r="T41" s="1"/>
    </row>
    <row r="42" ht="12.75" customHeight="1">
      <c r="A42" s="1">
        <v>31.0</v>
      </c>
      <c r="B42" s="408">
        <f t="shared" si="5"/>
        <v>632773.8305</v>
      </c>
      <c r="C42" s="408">
        <f t="shared" si="6"/>
        <v>335477.8306</v>
      </c>
      <c r="D42" s="409">
        <f t="shared" si="7"/>
        <v>297296</v>
      </c>
      <c r="E42" s="176">
        <f t="shared" si="8"/>
        <v>146093030.1</v>
      </c>
      <c r="F42" s="408">
        <f t="shared" si="14"/>
        <v>10709018.81</v>
      </c>
      <c r="G42" s="408">
        <f t="shared" si="15"/>
        <v>19615988.75</v>
      </c>
      <c r="H42" s="410">
        <f t="shared" si="16"/>
        <v>0.0275</v>
      </c>
      <c r="I42" s="1">
        <f t="shared" si="1"/>
        <v>31</v>
      </c>
      <c r="J42" s="406">
        <f t="shared" si="17"/>
        <v>45108</v>
      </c>
      <c r="K42" s="105">
        <f t="shared" si="9"/>
        <v>3</v>
      </c>
      <c r="L42" s="411">
        <f t="shared" si="10"/>
        <v>632773.8305</v>
      </c>
      <c r="M42" s="407">
        <f t="shared" si="2"/>
        <v>297296</v>
      </c>
      <c r="N42" s="407">
        <f t="shared" si="3"/>
        <v>335477.8306</v>
      </c>
      <c r="O42" s="407">
        <f t="shared" si="4"/>
        <v>146093030.1</v>
      </c>
      <c r="P42" s="368" t="str">
        <f>IF(AND(K42&gt;K41,K42-2+1='Pro Forma Detail'!D$66),E39,)</f>
        <v/>
      </c>
      <c r="Q42" s="369" t="str">
        <f t="shared" si="11"/>
        <v/>
      </c>
      <c r="R42" s="370">
        <f t="shared" si="12"/>
        <v>0</v>
      </c>
      <c r="S42" s="370">
        <f t="shared" si="13"/>
        <v>0</v>
      </c>
      <c r="T42" s="1"/>
    </row>
    <row r="43" ht="12.75" customHeight="1">
      <c r="A43" s="1">
        <v>32.0</v>
      </c>
      <c r="B43" s="408">
        <f t="shared" si="5"/>
        <v>632773.8305</v>
      </c>
      <c r="C43" s="408">
        <f t="shared" si="6"/>
        <v>334796.5272</v>
      </c>
      <c r="D43" s="409">
        <f t="shared" si="7"/>
        <v>297977.3033</v>
      </c>
      <c r="E43" s="176">
        <f t="shared" si="8"/>
        <v>145795052.8</v>
      </c>
      <c r="F43" s="408">
        <f t="shared" si="14"/>
        <v>11043815.34</v>
      </c>
      <c r="G43" s="408">
        <f t="shared" si="15"/>
        <v>20248762.58</v>
      </c>
      <c r="H43" s="410">
        <f t="shared" si="16"/>
        <v>0.0275</v>
      </c>
      <c r="I43" s="1">
        <f t="shared" si="1"/>
        <v>32</v>
      </c>
      <c r="J43" s="406">
        <f t="shared" si="17"/>
        <v>45139</v>
      </c>
      <c r="K43" s="105">
        <f t="shared" si="9"/>
        <v>3</v>
      </c>
      <c r="L43" s="411">
        <f t="shared" si="10"/>
        <v>632773.8305</v>
      </c>
      <c r="M43" s="407">
        <f t="shared" si="2"/>
        <v>297977.3033</v>
      </c>
      <c r="N43" s="407">
        <f t="shared" si="3"/>
        <v>334796.5272</v>
      </c>
      <c r="O43" s="407">
        <f t="shared" si="4"/>
        <v>145795052.8</v>
      </c>
      <c r="P43" s="368" t="str">
        <f>IF(AND(K43&gt;K42,K43-2+1='Pro Forma Detail'!D$66),E40,)</f>
        <v/>
      </c>
      <c r="Q43" s="369" t="str">
        <f t="shared" si="11"/>
        <v/>
      </c>
      <c r="R43" s="370">
        <f t="shared" si="12"/>
        <v>0</v>
      </c>
      <c r="S43" s="370">
        <f t="shared" si="13"/>
        <v>0</v>
      </c>
      <c r="T43" s="1"/>
    </row>
    <row r="44" ht="12.75" customHeight="1">
      <c r="A44" s="1">
        <v>33.0</v>
      </c>
      <c r="B44" s="408">
        <f t="shared" si="5"/>
        <v>632773.8305</v>
      </c>
      <c r="C44" s="408">
        <f t="shared" si="6"/>
        <v>334113.6626</v>
      </c>
      <c r="D44" s="409">
        <f t="shared" si="7"/>
        <v>298660.168</v>
      </c>
      <c r="E44" s="176">
        <f t="shared" si="8"/>
        <v>145496392.6</v>
      </c>
      <c r="F44" s="408">
        <f t="shared" si="14"/>
        <v>11377929</v>
      </c>
      <c r="G44" s="408">
        <f t="shared" si="15"/>
        <v>20881536.41</v>
      </c>
      <c r="H44" s="410">
        <f t="shared" si="16"/>
        <v>0.0275</v>
      </c>
      <c r="I44" s="1">
        <f t="shared" si="1"/>
        <v>33</v>
      </c>
      <c r="J44" s="406">
        <f t="shared" si="17"/>
        <v>45170</v>
      </c>
      <c r="K44" s="105">
        <f t="shared" si="9"/>
        <v>3</v>
      </c>
      <c r="L44" s="411">
        <f t="shared" si="10"/>
        <v>632773.8305</v>
      </c>
      <c r="M44" s="407">
        <f t="shared" si="2"/>
        <v>298660.168</v>
      </c>
      <c r="N44" s="407">
        <f t="shared" si="3"/>
        <v>334113.6626</v>
      </c>
      <c r="O44" s="407">
        <f t="shared" si="4"/>
        <v>145496392.6</v>
      </c>
      <c r="P44" s="368" t="str">
        <f>IF(AND(K44&gt;K43,K44-2+1='Pro Forma Detail'!D$66),E41,)</f>
        <v/>
      </c>
      <c r="Q44" s="369" t="str">
        <f t="shared" si="11"/>
        <v/>
      </c>
      <c r="R44" s="370">
        <f t="shared" si="12"/>
        <v>0</v>
      </c>
      <c r="S44" s="370">
        <f t="shared" si="13"/>
        <v>0</v>
      </c>
      <c r="T44" s="1"/>
    </row>
    <row r="45" ht="12.75" customHeight="1">
      <c r="A45" s="1">
        <v>34.0</v>
      </c>
      <c r="B45" s="408">
        <f t="shared" si="5"/>
        <v>632773.8305</v>
      </c>
      <c r="C45" s="408">
        <f t="shared" si="6"/>
        <v>333429.233</v>
      </c>
      <c r="D45" s="409">
        <f t="shared" si="7"/>
        <v>299344.5975</v>
      </c>
      <c r="E45" s="176">
        <f t="shared" si="8"/>
        <v>145197048</v>
      </c>
      <c r="F45" s="408">
        <f t="shared" si="14"/>
        <v>11711358.23</v>
      </c>
      <c r="G45" s="408">
        <f t="shared" si="15"/>
        <v>21514310.24</v>
      </c>
      <c r="H45" s="410">
        <f t="shared" si="16"/>
        <v>0.0275</v>
      </c>
      <c r="I45" s="1">
        <f t="shared" si="1"/>
        <v>34</v>
      </c>
      <c r="J45" s="406">
        <f t="shared" si="17"/>
        <v>45200</v>
      </c>
      <c r="K45" s="105">
        <f t="shared" si="9"/>
        <v>3</v>
      </c>
      <c r="L45" s="411">
        <f t="shared" si="10"/>
        <v>632773.8305</v>
      </c>
      <c r="M45" s="407">
        <f t="shared" si="2"/>
        <v>299344.5975</v>
      </c>
      <c r="N45" s="407">
        <f t="shared" si="3"/>
        <v>333429.233</v>
      </c>
      <c r="O45" s="407">
        <f t="shared" si="4"/>
        <v>145197048</v>
      </c>
      <c r="P45" s="368" t="str">
        <f>IF(AND(K45&gt;K44,K45-2+1='Pro Forma Detail'!D$66),E42,)</f>
        <v/>
      </c>
      <c r="Q45" s="369" t="str">
        <f t="shared" si="11"/>
        <v/>
      </c>
      <c r="R45" s="370">
        <f t="shared" si="12"/>
        <v>0</v>
      </c>
      <c r="S45" s="370">
        <f t="shared" si="13"/>
        <v>0</v>
      </c>
      <c r="T45" s="1"/>
    </row>
    <row r="46" ht="12.75" customHeight="1">
      <c r="A46" s="1">
        <v>35.0</v>
      </c>
      <c r="B46" s="408">
        <f t="shared" si="5"/>
        <v>632773.8305</v>
      </c>
      <c r="C46" s="408">
        <f t="shared" si="6"/>
        <v>332743.235</v>
      </c>
      <c r="D46" s="409">
        <f t="shared" si="7"/>
        <v>300030.5956</v>
      </c>
      <c r="E46" s="176">
        <f t="shared" si="8"/>
        <v>144897017.4</v>
      </c>
      <c r="F46" s="408">
        <f t="shared" si="14"/>
        <v>12044101.47</v>
      </c>
      <c r="G46" s="408">
        <f t="shared" si="15"/>
        <v>22147084.07</v>
      </c>
      <c r="H46" s="410">
        <f t="shared" si="16"/>
        <v>0.0275</v>
      </c>
      <c r="I46" s="1">
        <f t="shared" si="1"/>
        <v>35</v>
      </c>
      <c r="J46" s="406">
        <f t="shared" si="17"/>
        <v>45231</v>
      </c>
      <c r="K46" s="105">
        <f t="shared" si="9"/>
        <v>3</v>
      </c>
      <c r="L46" s="411">
        <f t="shared" si="10"/>
        <v>632773.8305</v>
      </c>
      <c r="M46" s="407">
        <f t="shared" si="2"/>
        <v>300030.5956</v>
      </c>
      <c r="N46" s="407">
        <f t="shared" si="3"/>
        <v>332743.235</v>
      </c>
      <c r="O46" s="407">
        <f t="shared" si="4"/>
        <v>144897017.4</v>
      </c>
      <c r="P46" s="368" t="str">
        <f>IF(AND(K46&gt;K45,K46-2+1='Pro Forma Detail'!D$66),E43,)</f>
        <v/>
      </c>
      <c r="Q46" s="369" t="str">
        <f t="shared" si="11"/>
        <v/>
      </c>
      <c r="R46" s="370">
        <f t="shared" si="12"/>
        <v>0</v>
      </c>
      <c r="S46" s="370">
        <f t="shared" si="13"/>
        <v>0</v>
      </c>
      <c r="T46" s="1"/>
    </row>
    <row r="47" ht="12.75" customHeight="1">
      <c r="A47" s="1">
        <v>36.0</v>
      </c>
      <c r="B47" s="408">
        <f t="shared" si="5"/>
        <v>632773.8305</v>
      </c>
      <c r="C47" s="408">
        <f t="shared" si="6"/>
        <v>332055.6649</v>
      </c>
      <c r="D47" s="409">
        <f t="shared" si="7"/>
        <v>300718.1657</v>
      </c>
      <c r="E47" s="176">
        <f t="shared" si="8"/>
        <v>144596299.2</v>
      </c>
      <c r="F47" s="408">
        <f t="shared" si="14"/>
        <v>12376157.13</v>
      </c>
      <c r="G47" s="408">
        <f t="shared" si="15"/>
        <v>22779857.9</v>
      </c>
      <c r="H47" s="410">
        <f t="shared" si="16"/>
        <v>0.0275</v>
      </c>
      <c r="I47" s="1">
        <f t="shared" si="1"/>
        <v>36</v>
      </c>
      <c r="J47" s="406">
        <f t="shared" si="17"/>
        <v>45261</v>
      </c>
      <c r="K47" s="105">
        <f t="shared" si="9"/>
        <v>3</v>
      </c>
      <c r="L47" s="411">
        <f t="shared" si="10"/>
        <v>632773.8305</v>
      </c>
      <c r="M47" s="407">
        <f t="shared" si="2"/>
        <v>300718.1657</v>
      </c>
      <c r="N47" s="407">
        <f t="shared" si="3"/>
        <v>332055.6649</v>
      </c>
      <c r="O47" s="407">
        <f t="shared" si="4"/>
        <v>144596299.2</v>
      </c>
      <c r="P47" s="368" t="str">
        <f>IF(AND(K47&gt;K46,K47-2+1='Pro Forma Detail'!D$66),E44,)</f>
        <v/>
      </c>
      <c r="Q47" s="369" t="str">
        <f t="shared" si="11"/>
        <v/>
      </c>
      <c r="R47" s="370">
        <f t="shared" si="12"/>
        <v>0</v>
      </c>
      <c r="S47" s="370">
        <f t="shared" si="13"/>
        <v>0</v>
      </c>
      <c r="T47" s="369"/>
    </row>
    <row r="48" ht="12.75" customHeight="1">
      <c r="A48" s="1">
        <v>37.0</v>
      </c>
      <c r="B48" s="408">
        <f t="shared" si="5"/>
        <v>632773.8305</v>
      </c>
      <c r="C48" s="408">
        <f t="shared" si="6"/>
        <v>331366.5191</v>
      </c>
      <c r="D48" s="409">
        <f t="shared" si="7"/>
        <v>301407.3115</v>
      </c>
      <c r="E48" s="176">
        <f t="shared" si="8"/>
        <v>144294891.9</v>
      </c>
      <c r="F48" s="408">
        <f t="shared" si="14"/>
        <v>12707523.65</v>
      </c>
      <c r="G48" s="408">
        <f t="shared" si="15"/>
        <v>23412631.73</v>
      </c>
      <c r="H48" s="410">
        <f t="shared" si="16"/>
        <v>0.0275</v>
      </c>
      <c r="I48" s="1">
        <f t="shared" si="1"/>
        <v>37</v>
      </c>
      <c r="J48" s="406">
        <f t="shared" si="17"/>
        <v>45292</v>
      </c>
      <c r="K48" s="105">
        <f t="shared" si="9"/>
        <v>4</v>
      </c>
      <c r="L48" s="411">
        <f t="shared" si="10"/>
        <v>632773.8305</v>
      </c>
      <c r="M48" s="407">
        <f t="shared" si="2"/>
        <v>301407.3115</v>
      </c>
      <c r="N48" s="407">
        <f t="shared" si="3"/>
        <v>331366.5191</v>
      </c>
      <c r="O48" s="407">
        <f t="shared" si="4"/>
        <v>144294891.9</v>
      </c>
      <c r="P48" s="368" t="str">
        <f>IF(AND(K48&gt;K47,K48-2+1='Pro Forma Detail'!D$66),E45,)</f>
        <v/>
      </c>
      <c r="Q48" s="369" t="str">
        <f t="shared" si="11"/>
        <v/>
      </c>
      <c r="R48" s="370">
        <f t="shared" si="12"/>
        <v>0</v>
      </c>
      <c r="S48" s="370">
        <f t="shared" si="13"/>
        <v>0</v>
      </c>
      <c r="T48" s="1"/>
    </row>
    <row r="49" ht="12.75" customHeight="1">
      <c r="A49" s="1">
        <v>38.0</v>
      </c>
      <c r="B49" s="408">
        <f t="shared" si="5"/>
        <v>632773.8305</v>
      </c>
      <c r="C49" s="408">
        <f t="shared" si="6"/>
        <v>330675.794</v>
      </c>
      <c r="D49" s="409">
        <f t="shared" si="7"/>
        <v>302098.0366</v>
      </c>
      <c r="E49" s="176">
        <f t="shared" si="8"/>
        <v>143992793.9</v>
      </c>
      <c r="F49" s="408">
        <f t="shared" si="14"/>
        <v>13038199.45</v>
      </c>
      <c r="G49" s="408">
        <f t="shared" si="15"/>
        <v>24045405.56</v>
      </c>
      <c r="H49" s="410">
        <f t="shared" si="16"/>
        <v>0.0275</v>
      </c>
      <c r="I49" s="1">
        <f t="shared" si="1"/>
        <v>38</v>
      </c>
      <c r="J49" s="406">
        <f t="shared" si="17"/>
        <v>45323</v>
      </c>
      <c r="K49" s="105">
        <f t="shared" si="9"/>
        <v>4</v>
      </c>
      <c r="L49" s="411">
        <f t="shared" si="10"/>
        <v>632773.8305</v>
      </c>
      <c r="M49" s="407">
        <f t="shared" si="2"/>
        <v>302098.0366</v>
      </c>
      <c r="N49" s="407">
        <f t="shared" si="3"/>
        <v>330675.794</v>
      </c>
      <c r="O49" s="407">
        <f t="shared" si="4"/>
        <v>143992793.9</v>
      </c>
      <c r="P49" s="368" t="str">
        <f>IF(AND(K49&gt;K48,K49-2+1='Pro Forma Detail'!D$66),E46,)</f>
        <v/>
      </c>
      <c r="Q49" s="369" t="str">
        <f t="shared" si="11"/>
        <v/>
      </c>
      <c r="R49" s="370">
        <f t="shared" si="12"/>
        <v>0</v>
      </c>
      <c r="S49" s="370">
        <f t="shared" si="13"/>
        <v>0</v>
      </c>
      <c r="T49" s="1"/>
    </row>
    <row r="50" ht="12.75" customHeight="1">
      <c r="A50" s="1">
        <v>39.0</v>
      </c>
      <c r="B50" s="408">
        <f t="shared" si="5"/>
        <v>632773.8305</v>
      </c>
      <c r="C50" s="408">
        <f t="shared" si="6"/>
        <v>329983.486</v>
      </c>
      <c r="D50" s="409">
        <f t="shared" si="7"/>
        <v>302790.3446</v>
      </c>
      <c r="E50" s="176">
        <f t="shared" si="8"/>
        <v>143690003.5</v>
      </c>
      <c r="F50" s="408">
        <f t="shared" si="14"/>
        <v>13368182.93</v>
      </c>
      <c r="G50" s="408">
        <f t="shared" si="15"/>
        <v>24678179.39</v>
      </c>
      <c r="H50" s="410">
        <f t="shared" si="16"/>
        <v>0.0275</v>
      </c>
      <c r="I50" s="1">
        <f t="shared" si="1"/>
        <v>39</v>
      </c>
      <c r="J50" s="406">
        <f t="shared" si="17"/>
        <v>45352</v>
      </c>
      <c r="K50" s="105">
        <f t="shared" si="9"/>
        <v>4</v>
      </c>
      <c r="L50" s="411">
        <f t="shared" si="10"/>
        <v>632773.8305</v>
      </c>
      <c r="M50" s="407">
        <f t="shared" si="2"/>
        <v>302790.3446</v>
      </c>
      <c r="N50" s="407">
        <f t="shared" si="3"/>
        <v>329983.486</v>
      </c>
      <c r="O50" s="407">
        <f t="shared" si="4"/>
        <v>143690003.5</v>
      </c>
      <c r="P50" s="368" t="str">
        <f>IF(AND(K50&gt;K49,K50-2+1='Pro Forma Detail'!D$66),E47,)</f>
        <v/>
      </c>
      <c r="Q50" s="369" t="str">
        <f t="shared" si="11"/>
        <v/>
      </c>
      <c r="R50" s="370">
        <f t="shared" si="12"/>
        <v>0</v>
      </c>
      <c r="S50" s="370">
        <f t="shared" si="13"/>
        <v>0</v>
      </c>
      <c r="T50" s="1"/>
    </row>
    <row r="51" ht="12.75" customHeight="1">
      <c r="A51" s="1">
        <v>40.0</v>
      </c>
      <c r="B51" s="408">
        <f t="shared" si="5"/>
        <v>632773.8305</v>
      </c>
      <c r="C51" s="408">
        <f t="shared" si="6"/>
        <v>329289.5914</v>
      </c>
      <c r="D51" s="409">
        <f t="shared" si="7"/>
        <v>303484.2391</v>
      </c>
      <c r="E51" s="176">
        <f t="shared" si="8"/>
        <v>143386519.3</v>
      </c>
      <c r="F51" s="408">
        <f t="shared" si="14"/>
        <v>13697472.52</v>
      </c>
      <c r="G51" s="408">
        <f t="shared" si="15"/>
        <v>25310953.22</v>
      </c>
      <c r="H51" s="410">
        <f t="shared" si="16"/>
        <v>0.0275</v>
      </c>
      <c r="I51" s="1">
        <f t="shared" si="1"/>
        <v>40</v>
      </c>
      <c r="J51" s="406">
        <f t="shared" si="17"/>
        <v>45383</v>
      </c>
      <c r="K51" s="105">
        <f t="shared" si="9"/>
        <v>4</v>
      </c>
      <c r="L51" s="411">
        <f t="shared" si="10"/>
        <v>632773.8305</v>
      </c>
      <c r="M51" s="407">
        <f t="shared" si="2"/>
        <v>303484.2391</v>
      </c>
      <c r="N51" s="407">
        <f t="shared" si="3"/>
        <v>329289.5914</v>
      </c>
      <c r="O51" s="407">
        <f t="shared" si="4"/>
        <v>143386519.3</v>
      </c>
      <c r="P51" s="368" t="str">
        <f>IF(AND(K51&gt;K50,K51-2+1='Pro Forma Detail'!D$66),E48,)</f>
        <v/>
      </c>
      <c r="Q51" s="369" t="str">
        <f t="shared" si="11"/>
        <v/>
      </c>
      <c r="R51" s="370">
        <f t="shared" si="12"/>
        <v>0</v>
      </c>
      <c r="S51" s="370">
        <f t="shared" si="13"/>
        <v>0</v>
      </c>
      <c r="T51" s="1"/>
    </row>
    <row r="52" ht="12.75" customHeight="1">
      <c r="A52" s="1">
        <v>41.0</v>
      </c>
      <c r="B52" s="408">
        <f t="shared" si="5"/>
        <v>632773.8305</v>
      </c>
      <c r="C52" s="408">
        <f t="shared" si="6"/>
        <v>328594.1067</v>
      </c>
      <c r="D52" s="409">
        <f t="shared" si="7"/>
        <v>304179.7238</v>
      </c>
      <c r="E52" s="176">
        <f t="shared" si="8"/>
        <v>143082339.6</v>
      </c>
      <c r="F52" s="408">
        <f t="shared" si="14"/>
        <v>14026066.63</v>
      </c>
      <c r="G52" s="408">
        <f t="shared" si="15"/>
        <v>25943727.05</v>
      </c>
      <c r="H52" s="410">
        <f t="shared" si="16"/>
        <v>0.0275</v>
      </c>
      <c r="I52" s="1">
        <f t="shared" si="1"/>
        <v>41</v>
      </c>
      <c r="J52" s="406">
        <f t="shared" si="17"/>
        <v>45413</v>
      </c>
      <c r="K52" s="105">
        <f t="shared" si="9"/>
        <v>4</v>
      </c>
      <c r="L52" s="411">
        <f t="shared" si="10"/>
        <v>632773.8305</v>
      </c>
      <c r="M52" s="407">
        <f t="shared" si="2"/>
        <v>304179.7238</v>
      </c>
      <c r="N52" s="407">
        <f t="shared" si="3"/>
        <v>328594.1067</v>
      </c>
      <c r="O52" s="407">
        <f t="shared" si="4"/>
        <v>143082339.6</v>
      </c>
      <c r="P52" s="368" t="str">
        <f>IF(AND(K52&gt;K51,K52-2+1='Pro Forma Detail'!D$66),E49,)</f>
        <v/>
      </c>
      <c r="Q52" s="369" t="str">
        <f t="shared" si="11"/>
        <v/>
      </c>
      <c r="R52" s="370">
        <f t="shared" si="12"/>
        <v>0</v>
      </c>
      <c r="S52" s="370">
        <f t="shared" si="13"/>
        <v>0</v>
      </c>
      <c r="T52" s="1"/>
    </row>
    <row r="53" ht="12.75" customHeight="1">
      <c r="A53" s="1">
        <v>42.0</v>
      </c>
      <c r="B53" s="408">
        <f t="shared" si="5"/>
        <v>632773.8305</v>
      </c>
      <c r="C53" s="408">
        <f t="shared" si="6"/>
        <v>327897.0282</v>
      </c>
      <c r="D53" s="409">
        <f t="shared" si="7"/>
        <v>304876.8023</v>
      </c>
      <c r="E53" s="176">
        <f t="shared" si="8"/>
        <v>142777462.8</v>
      </c>
      <c r="F53" s="408">
        <f t="shared" si="14"/>
        <v>14353963.66</v>
      </c>
      <c r="G53" s="408">
        <f t="shared" si="15"/>
        <v>26576500.88</v>
      </c>
      <c r="H53" s="410">
        <f t="shared" si="16"/>
        <v>0.0275</v>
      </c>
      <c r="I53" s="1">
        <f t="shared" si="1"/>
        <v>42</v>
      </c>
      <c r="J53" s="406">
        <f t="shared" si="17"/>
        <v>45444</v>
      </c>
      <c r="K53" s="105">
        <f t="shared" si="9"/>
        <v>4</v>
      </c>
      <c r="L53" s="411">
        <f t="shared" si="10"/>
        <v>632773.8305</v>
      </c>
      <c r="M53" s="407">
        <f t="shared" si="2"/>
        <v>304876.8023</v>
      </c>
      <c r="N53" s="407">
        <f t="shared" si="3"/>
        <v>327897.0282</v>
      </c>
      <c r="O53" s="407">
        <f t="shared" si="4"/>
        <v>142777462.8</v>
      </c>
      <c r="P53" s="368" t="str">
        <f>IF(AND(K53&gt;K52,K53-2+1='Pro Forma Detail'!D$66),E50,)</f>
        <v/>
      </c>
      <c r="Q53" s="369" t="str">
        <f t="shared" si="11"/>
        <v/>
      </c>
      <c r="R53" s="370">
        <f t="shared" si="12"/>
        <v>0</v>
      </c>
      <c r="S53" s="370">
        <f t="shared" si="13"/>
        <v>0</v>
      </c>
      <c r="T53" s="1"/>
    </row>
    <row r="54" ht="12.75" customHeight="1">
      <c r="A54" s="1">
        <v>43.0</v>
      </c>
      <c r="B54" s="408">
        <f t="shared" si="5"/>
        <v>632773.8305</v>
      </c>
      <c r="C54" s="408">
        <f t="shared" si="6"/>
        <v>327198.3522</v>
      </c>
      <c r="D54" s="409">
        <f t="shared" si="7"/>
        <v>305575.4784</v>
      </c>
      <c r="E54" s="176">
        <f t="shared" si="8"/>
        <v>142471887.3</v>
      </c>
      <c r="F54" s="408">
        <f t="shared" si="14"/>
        <v>14681162.01</v>
      </c>
      <c r="G54" s="408">
        <f t="shared" si="15"/>
        <v>27209274.71</v>
      </c>
      <c r="H54" s="410">
        <f t="shared" si="16"/>
        <v>0.0275</v>
      </c>
      <c r="I54" s="1">
        <f t="shared" si="1"/>
        <v>43</v>
      </c>
      <c r="J54" s="406">
        <f t="shared" si="17"/>
        <v>45474</v>
      </c>
      <c r="K54" s="105">
        <f t="shared" si="9"/>
        <v>4</v>
      </c>
      <c r="L54" s="411">
        <f t="shared" si="10"/>
        <v>632773.8305</v>
      </c>
      <c r="M54" s="407">
        <f t="shared" si="2"/>
        <v>305575.4784</v>
      </c>
      <c r="N54" s="407">
        <f t="shared" si="3"/>
        <v>327198.3522</v>
      </c>
      <c r="O54" s="407">
        <f t="shared" si="4"/>
        <v>142471887.3</v>
      </c>
      <c r="P54" s="368" t="str">
        <f>IF(AND(K54&gt;K53,K54-2+1='Pro Forma Detail'!D$66),E51,)</f>
        <v/>
      </c>
      <c r="Q54" s="369" t="str">
        <f t="shared" si="11"/>
        <v/>
      </c>
      <c r="R54" s="370">
        <f t="shared" si="12"/>
        <v>0</v>
      </c>
      <c r="S54" s="370">
        <f t="shared" si="13"/>
        <v>0</v>
      </c>
      <c r="T54" s="1"/>
    </row>
    <row r="55" ht="12.75" customHeight="1">
      <c r="A55" s="1">
        <v>44.0</v>
      </c>
      <c r="B55" s="408">
        <f t="shared" si="5"/>
        <v>632773.8305</v>
      </c>
      <c r="C55" s="408">
        <f t="shared" si="6"/>
        <v>326498.0751</v>
      </c>
      <c r="D55" s="409">
        <f t="shared" si="7"/>
        <v>306275.7555</v>
      </c>
      <c r="E55" s="176">
        <f t="shared" si="8"/>
        <v>142165611.5</v>
      </c>
      <c r="F55" s="408">
        <f t="shared" si="14"/>
        <v>15007660.09</v>
      </c>
      <c r="G55" s="408">
        <f t="shared" si="15"/>
        <v>27842048.54</v>
      </c>
      <c r="H55" s="410">
        <f t="shared" si="16"/>
        <v>0.0275</v>
      </c>
      <c r="I55" s="1">
        <f t="shared" si="1"/>
        <v>44</v>
      </c>
      <c r="J55" s="406">
        <f t="shared" si="17"/>
        <v>45505</v>
      </c>
      <c r="K55" s="105">
        <f t="shared" si="9"/>
        <v>4</v>
      </c>
      <c r="L55" s="411">
        <f t="shared" si="10"/>
        <v>632773.8305</v>
      </c>
      <c r="M55" s="407">
        <f t="shared" si="2"/>
        <v>306275.7555</v>
      </c>
      <c r="N55" s="407">
        <f t="shared" si="3"/>
        <v>326498.0751</v>
      </c>
      <c r="O55" s="407">
        <f t="shared" si="4"/>
        <v>142165611.5</v>
      </c>
      <c r="P55" s="368" t="str">
        <f>IF(AND(K55&gt;K54,K55-2+1='Pro Forma Detail'!D$66),E52,)</f>
        <v/>
      </c>
      <c r="Q55" s="369" t="str">
        <f t="shared" si="11"/>
        <v/>
      </c>
      <c r="R55" s="370">
        <f t="shared" si="12"/>
        <v>0</v>
      </c>
      <c r="S55" s="370">
        <f t="shared" si="13"/>
        <v>0</v>
      </c>
      <c r="T55" s="1"/>
    </row>
    <row r="56" ht="12.75" customHeight="1">
      <c r="A56" s="1">
        <v>45.0</v>
      </c>
      <c r="B56" s="408">
        <f t="shared" si="5"/>
        <v>632773.8305</v>
      </c>
      <c r="C56" s="408">
        <f t="shared" si="6"/>
        <v>325796.1931</v>
      </c>
      <c r="D56" s="409">
        <f t="shared" si="7"/>
        <v>306977.6374</v>
      </c>
      <c r="E56" s="176">
        <f t="shared" si="8"/>
        <v>141858633.9</v>
      </c>
      <c r="F56" s="408">
        <f t="shared" si="14"/>
        <v>15333456.28</v>
      </c>
      <c r="G56" s="408">
        <f t="shared" si="15"/>
        <v>28474822.37</v>
      </c>
      <c r="H56" s="410">
        <f t="shared" si="16"/>
        <v>0.0275</v>
      </c>
      <c r="I56" s="1">
        <f t="shared" si="1"/>
        <v>45</v>
      </c>
      <c r="J56" s="406">
        <f t="shared" si="17"/>
        <v>45536</v>
      </c>
      <c r="K56" s="105">
        <f t="shared" si="9"/>
        <v>4</v>
      </c>
      <c r="L56" s="411">
        <f t="shared" si="10"/>
        <v>632773.8305</v>
      </c>
      <c r="M56" s="407">
        <f t="shared" si="2"/>
        <v>306977.6374</v>
      </c>
      <c r="N56" s="407">
        <f t="shared" si="3"/>
        <v>325796.1931</v>
      </c>
      <c r="O56" s="407">
        <f t="shared" si="4"/>
        <v>141858633.9</v>
      </c>
      <c r="P56" s="368" t="str">
        <f>IF(AND(K56&gt;K55,K56-2+1='Pro Forma Detail'!D$66),E53,)</f>
        <v/>
      </c>
      <c r="Q56" s="369" t="str">
        <f t="shared" si="11"/>
        <v/>
      </c>
      <c r="R56" s="370">
        <f t="shared" si="12"/>
        <v>0</v>
      </c>
      <c r="S56" s="370">
        <f t="shared" si="13"/>
        <v>0</v>
      </c>
      <c r="T56" s="1"/>
    </row>
    <row r="57" ht="12.75" customHeight="1">
      <c r="A57" s="1">
        <v>46.0</v>
      </c>
      <c r="B57" s="408">
        <f t="shared" si="5"/>
        <v>632773.8305</v>
      </c>
      <c r="C57" s="408">
        <f t="shared" si="6"/>
        <v>325092.7027</v>
      </c>
      <c r="D57" s="409">
        <f t="shared" si="7"/>
        <v>307681.1278</v>
      </c>
      <c r="E57" s="176">
        <f t="shared" si="8"/>
        <v>141550952.8</v>
      </c>
      <c r="F57" s="408">
        <f t="shared" si="14"/>
        <v>15658548.98</v>
      </c>
      <c r="G57" s="408">
        <f t="shared" si="15"/>
        <v>29107596.21</v>
      </c>
      <c r="H57" s="410">
        <f t="shared" si="16"/>
        <v>0.0275</v>
      </c>
      <c r="I57" s="1">
        <f t="shared" si="1"/>
        <v>46</v>
      </c>
      <c r="J57" s="406">
        <f t="shared" si="17"/>
        <v>45566</v>
      </c>
      <c r="K57" s="105">
        <f t="shared" si="9"/>
        <v>4</v>
      </c>
      <c r="L57" s="411">
        <f t="shared" si="10"/>
        <v>632773.8305</v>
      </c>
      <c r="M57" s="407">
        <f t="shared" si="2"/>
        <v>307681.1278</v>
      </c>
      <c r="N57" s="407">
        <f t="shared" si="3"/>
        <v>325092.7027</v>
      </c>
      <c r="O57" s="407">
        <f t="shared" si="4"/>
        <v>141550952.8</v>
      </c>
      <c r="P57" s="368" t="str">
        <f>IF(AND(K57&gt;K56,K57-2+1='Pro Forma Detail'!D$66),E54,)</f>
        <v/>
      </c>
      <c r="Q57" s="369" t="str">
        <f t="shared" si="11"/>
        <v/>
      </c>
      <c r="R57" s="370">
        <f t="shared" si="12"/>
        <v>0</v>
      </c>
      <c r="S57" s="370">
        <f t="shared" si="13"/>
        <v>0</v>
      </c>
      <c r="T57" s="1"/>
    </row>
    <row r="58" ht="12.75" customHeight="1">
      <c r="A58" s="1">
        <v>47.0</v>
      </c>
      <c r="B58" s="408">
        <f t="shared" si="5"/>
        <v>632773.8305</v>
      </c>
      <c r="C58" s="408">
        <f t="shared" si="6"/>
        <v>324387.6001</v>
      </c>
      <c r="D58" s="409">
        <f t="shared" si="7"/>
        <v>308386.2304</v>
      </c>
      <c r="E58" s="176">
        <f t="shared" si="8"/>
        <v>141242566.5</v>
      </c>
      <c r="F58" s="408">
        <f t="shared" si="14"/>
        <v>15982936.58</v>
      </c>
      <c r="G58" s="408">
        <f t="shared" si="15"/>
        <v>29740370.04</v>
      </c>
      <c r="H58" s="410">
        <f t="shared" si="16"/>
        <v>0.0275</v>
      </c>
      <c r="I58" s="1">
        <f t="shared" si="1"/>
        <v>47</v>
      </c>
      <c r="J58" s="406">
        <f t="shared" si="17"/>
        <v>45597</v>
      </c>
      <c r="K58" s="105">
        <f t="shared" si="9"/>
        <v>4</v>
      </c>
      <c r="L58" s="411">
        <f t="shared" si="10"/>
        <v>632773.8305</v>
      </c>
      <c r="M58" s="407">
        <f t="shared" si="2"/>
        <v>308386.2304</v>
      </c>
      <c r="N58" s="407">
        <f t="shared" si="3"/>
        <v>324387.6001</v>
      </c>
      <c r="O58" s="407">
        <f t="shared" si="4"/>
        <v>141242566.5</v>
      </c>
      <c r="P58" s="368" t="str">
        <f>IF(AND(K58&gt;K57,K58-2+1='Pro Forma Detail'!D$66),E55,)</f>
        <v/>
      </c>
      <c r="Q58" s="369" t="str">
        <f t="shared" si="11"/>
        <v/>
      </c>
      <c r="R58" s="370">
        <f t="shared" si="12"/>
        <v>0</v>
      </c>
      <c r="S58" s="370">
        <f t="shared" si="13"/>
        <v>0</v>
      </c>
      <c r="T58" s="1"/>
    </row>
    <row r="59" ht="12.75" customHeight="1">
      <c r="A59" s="1">
        <v>48.0</v>
      </c>
      <c r="B59" s="408">
        <f t="shared" si="5"/>
        <v>632773.8305</v>
      </c>
      <c r="C59" s="408">
        <f t="shared" si="6"/>
        <v>323680.8817</v>
      </c>
      <c r="D59" s="409">
        <f t="shared" si="7"/>
        <v>141551659.5</v>
      </c>
      <c r="E59" s="176">
        <f t="shared" si="8"/>
        <v>-0.00000000320142135</v>
      </c>
      <c r="F59" s="408">
        <f t="shared" si="14"/>
        <v>16306617.46</v>
      </c>
      <c r="G59" s="408">
        <f t="shared" si="15"/>
        <v>30373143.87</v>
      </c>
      <c r="H59" s="410">
        <f t="shared" si="16"/>
        <v>0.0275</v>
      </c>
      <c r="I59" s="1">
        <f t="shared" si="1"/>
        <v>48</v>
      </c>
      <c r="J59" s="406">
        <f t="shared" si="17"/>
        <v>45627</v>
      </c>
      <c r="K59" s="105">
        <f t="shared" si="9"/>
        <v>4</v>
      </c>
      <c r="L59" s="411">
        <f t="shared" si="10"/>
        <v>632773.8305</v>
      </c>
      <c r="M59" s="407">
        <f t="shared" si="2"/>
        <v>141551659.5</v>
      </c>
      <c r="N59" s="407">
        <f t="shared" si="3"/>
        <v>323680.8817</v>
      </c>
      <c r="O59" s="407">
        <f t="shared" si="4"/>
        <v>-0.00000000320142135</v>
      </c>
      <c r="P59" s="368" t="str">
        <f>IF(AND(K59&gt;K58,K59-2+1='Pro Forma Detail'!D$66),E56,)</f>
        <v/>
      </c>
      <c r="Q59" s="369" t="str">
        <f t="shared" si="11"/>
        <v/>
      </c>
      <c r="R59" s="370">
        <f t="shared" si="12"/>
        <v>0</v>
      </c>
      <c r="S59" s="370">
        <f t="shared" si="13"/>
        <v>141550952.8</v>
      </c>
      <c r="T59" s="1"/>
    </row>
    <row r="60" ht="12.75" customHeight="1">
      <c r="A60" s="1">
        <v>49.0</v>
      </c>
      <c r="B60" s="408">
        <f t="shared" si="5"/>
        <v>0</v>
      </c>
      <c r="C60" s="408">
        <f t="shared" si="6"/>
        <v>0</v>
      </c>
      <c r="D60" s="409">
        <f t="shared" si="7"/>
        <v>0</v>
      </c>
      <c r="E60" s="176">
        <f t="shared" si="8"/>
        <v>-0.000000003194383956</v>
      </c>
      <c r="F60" s="408">
        <f t="shared" si="14"/>
        <v>16306617.46</v>
      </c>
      <c r="G60" s="408">
        <f t="shared" si="15"/>
        <v>30373143.87</v>
      </c>
      <c r="H60" s="410">
        <f t="shared" si="16"/>
        <v>0.0275</v>
      </c>
      <c r="I60" s="1">
        <f t="shared" si="1"/>
        <v>49</v>
      </c>
      <c r="J60" s="406">
        <f t="shared" si="17"/>
        <v>45658</v>
      </c>
      <c r="K60" s="105">
        <f t="shared" si="9"/>
        <v>5</v>
      </c>
      <c r="L60" s="411">
        <f t="shared" si="10"/>
        <v>0</v>
      </c>
      <c r="M60" s="407">
        <f t="shared" si="2"/>
        <v>0</v>
      </c>
      <c r="N60" s="407">
        <f t="shared" si="3"/>
        <v>0</v>
      </c>
      <c r="O60" s="407">
        <f t="shared" si="4"/>
        <v>-0.000000003194383956</v>
      </c>
      <c r="P60" s="368">
        <f>IF(AND(K60&gt;K59,K60-2+1='Pro Forma Detail'!D$66),E57,)</f>
        <v>141550952.8</v>
      </c>
      <c r="Q60" s="369">
        <f t="shared" si="11"/>
        <v>308386.2304</v>
      </c>
      <c r="R60" s="370">
        <f t="shared" si="12"/>
        <v>309092.9489</v>
      </c>
      <c r="S60" s="370">
        <f t="shared" si="13"/>
        <v>0</v>
      </c>
      <c r="T60" s="1"/>
    </row>
    <row r="61" ht="12.75" customHeight="1">
      <c r="A61" s="1">
        <v>50.0</v>
      </c>
      <c r="B61" s="408">
        <f t="shared" si="5"/>
        <v>0</v>
      </c>
      <c r="C61" s="408">
        <f t="shared" si="6"/>
        <v>0</v>
      </c>
      <c r="D61" s="409">
        <f t="shared" si="7"/>
        <v>0</v>
      </c>
      <c r="E61" s="176">
        <f t="shared" si="8"/>
        <v>-0.000000003187330434</v>
      </c>
      <c r="F61" s="408">
        <f t="shared" si="14"/>
        <v>16306617.46</v>
      </c>
      <c r="G61" s="408">
        <f t="shared" si="15"/>
        <v>30373143.87</v>
      </c>
      <c r="H61" s="410">
        <f t="shared" si="16"/>
        <v>0.0275</v>
      </c>
      <c r="I61" s="1">
        <f t="shared" si="1"/>
        <v>50</v>
      </c>
      <c r="J61" s="406">
        <f t="shared" si="17"/>
        <v>45689</v>
      </c>
      <c r="K61" s="105">
        <f t="shared" si="9"/>
        <v>5</v>
      </c>
      <c r="L61" s="411">
        <f t="shared" si="10"/>
        <v>0</v>
      </c>
      <c r="M61" s="407">
        <f t="shared" si="2"/>
        <v>0</v>
      </c>
      <c r="N61" s="407">
        <f t="shared" si="3"/>
        <v>0</v>
      </c>
      <c r="O61" s="407">
        <f t="shared" si="4"/>
        <v>-0.000000003187330434</v>
      </c>
      <c r="P61" s="368" t="str">
        <f>IF(AND(K61&gt;K60,K61-2+1='Pro Forma Detail'!D$66),E58,)</f>
        <v/>
      </c>
      <c r="Q61" s="369" t="str">
        <f t="shared" si="11"/>
        <v/>
      </c>
      <c r="R61" s="370">
        <f t="shared" si="12"/>
        <v>0</v>
      </c>
      <c r="S61" s="370">
        <f t="shared" si="13"/>
        <v>0</v>
      </c>
      <c r="T61" s="1"/>
    </row>
    <row r="62" ht="12.75" customHeight="1">
      <c r="A62" s="1">
        <v>51.0</v>
      </c>
      <c r="B62" s="408">
        <f t="shared" si="5"/>
        <v>0</v>
      </c>
      <c r="C62" s="408">
        <f t="shared" si="6"/>
        <v>0</v>
      </c>
      <c r="D62" s="409">
        <f t="shared" si="7"/>
        <v>0</v>
      </c>
      <c r="E62" s="176">
        <f t="shared" si="8"/>
        <v>-0.000000003180260748</v>
      </c>
      <c r="F62" s="408">
        <f t="shared" si="14"/>
        <v>16306617.46</v>
      </c>
      <c r="G62" s="408">
        <f t="shared" si="15"/>
        <v>30373143.87</v>
      </c>
      <c r="H62" s="410">
        <f t="shared" si="16"/>
        <v>0.0275</v>
      </c>
      <c r="I62" s="1">
        <f t="shared" si="1"/>
        <v>51</v>
      </c>
      <c r="J62" s="406">
        <f t="shared" si="17"/>
        <v>45717</v>
      </c>
      <c r="K62" s="105">
        <f t="shared" si="9"/>
        <v>5</v>
      </c>
      <c r="L62" s="411">
        <f t="shared" si="10"/>
        <v>0</v>
      </c>
      <c r="M62" s="407">
        <f t="shared" si="2"/>
        <v>0</v>
      </c>
      <c r="N62" s="407">
        <f t="shared" si="3"/>
        <v>0</v>
      </c>
      <c r="O62" s="407">
        <f t="shared" si="4"/>
        <v>-0.000000003180260748</v>
      </c>
      <c r="P62" s="368" t="str">
        <f>IF(AND(K62&gt;K61,K62-2+1='Pro Forma Detail'!D$66),E59,)</f>
        <v/>
      </c>
      <c r="Q62" s="369" t="str">
        <f t="shared" si="11"/>
        <v/>
      </c>
      <c r="R62" s="370">
        <f t="shared" si="12"/>
        <v>0</v>
      </c>
      <c r="S62" s="370">
        <f t="shared" si="13"/>
        <v>0</v>
      </c>
      <c r="T62" s="1"/>
    </row>
    <row r="63" ht="12.75" customHeight="1">
      <c r="A63" s="1">
        <v>52.0</v>
      </c>
      <c r="B63" s="408">
        <f t="shared" si="5"/>
        <v>0</v>
      </c>
      <c r="C63" s="408">
        <f t="shared" si="6"/>
        <v>0</v>
      </c>
      <c r="D63" s="409">
        <f t="shared" si="7"/>
        <v>0</v>
      </c>
      <c r="E63" s="176">
        <f t="shared" si="8"/>
        <v>-0.00000000317317486</v>
      </c>
      <c r="F63" s="408">
        <f t="shared" si="14"/>
        <v>16306617.46</v>
      </c>
      <c r="G63" s="408">
        <f t="shared" si="15"/>
        <v>30373143.87</v>
      </c>
      <c r="H63" s="410">
        <f t="shared" si="16"/>
        <v>0.0275</v>
      </c>
      <c r="I63" s="1">
        <f t="shared" si="1"/>
        <v>52</v>
      </c>
      <c r="J63" s="406">
        <f t="shared" si="17"/>
        <v>45748</v>
      </c>
      <c r="K63" s="105">
        <f t="shared" si="9"/>
        <v>5</v>
      </c>
      <c r="L63" s="411">
        <f t="shared" si="10"/>
        <v>0</v>
      </c>
      <c r="M63" s="407">
        <f t="shared" si="2"/>
        <v>0</v>
      </c>
      <c r="N63" s="407">
        <f t="shared" si="3"/>
        <v>0</v>
      </c>
      <c r="O63" s="407">
        <f t="shared" si="4"/>
        <v>-0.00000000317317486</v>
      </c>
      <c r="P63" s="368" t="str">
        <f>IF(AND(K63&gt;K62,K63-2+1='Pro Forma Detail'!D$66),E60,)</f>
        <v/>
      </c>
      <c r="Q63" s="369" t="str">
        <f t="shared" si="11"/>
        <v/>
      </c>
      <c r="R63" s="370">
        <f t="shared" si="12"/>
        <v>0</v>
      </c>
      <c r="S63" s="370">
        <f t="shared" si="13"/>
        <v>0</v>
      </c>
      <c r="T63" s="1"/>
    </row>
    <row r="64" ht="12.75" customHeight="1">
      <c r="A64" s="1">
        <v>53.0</v>
      </c>
      <c r="B64" s="408">
        <f t="shared" si="5"/>
        <v>0</v>
      </c>
      <c r="C64" s="408">
        <f t="shared" si="6"/>
        <v>0</v>
      </c>
      <c r="D64" s="409">
        <f t="shared" si="7"/>
        <v>0</v>
      </c>
      <c r="E64" s="176">
        <f t="shared" si="8"/>
        <v>-0.000000003166072734</v>
      </c>
      <c r="F64" s="408">
        <f t="shared" si="14"/>
        <v>16306617.46</v>
      </c>
      <c r="G64" s="408">
        <f t="shared" si="15"/>
        <v>30373143.87</v>
      </c>
      <c r="H64" s="410">
        <f t="shared" si="16"/>
        <v>0.0275</v>
      </c>
      <c r="I64" s="1">
        <f t="shared" si="1"/>
        <v>53</v>
      </c>
      <c r="J64" s="406">
        <f t="shared" si="17"/>
        <v>45778</v>
      </c>
      <c r="K64" s="105">
        <f t="shared" si="9"/>
        <v>5</v>
      </c>
      <c r="L64" s="411">
        <f t="shared" si="10"/>
        <v>0</v>
      </c>
      <c r="M64" s="407">
        <f t="shared" si="2"/>
        <v>0</v>
      </c>
      <c r="N64" s="407">
        <f t="shared" si="3"/>
        <v>0</v>
      </c>
      <c r="O64" s="407">
        <f t="shared" si="4"/>
        <v>-0.000000003166072734</v>
      </c>
      <c r="P64" s="368" t="str">
        <f>IF(AND(K64&gt;K63,K64-2+1='Pro Forma Detail'!D$66),E61,)</f>
        <v/>
      </c>
      <c r="Q64" s="369" t="str">
        <f t="shared" si="11"/>
        <v/>
      </c>
      <c r="R64" s="370">
        <f t="shared" si="12"/>
        <v>0</v>
      </c>
      <c r="S64" s="370">
        <f t="shared" si="13"/>
        <v>0</v>
      </c>
      <c r="T64" s="1"/>
    </row>
    <row r="65" ht="12.75" customHeight="1">
      <c r="A65" s="1">
        <v>54.0</v>
      </c>
      <c r="B65" s="408">
        <f t="shared" si="5"/>
        <v>0</v>
      </c>
      <c r="C65" s="408">
        <f t="shared" si="6"/>
        <v>0</v>
      </c>
      <c r="D65" s="409">
        <f t="shared" si="7"/>
        <v>0</v>
      </c>
      <c r="E65" s="176">
        <f t="shared" si="8"/>
        <v>-0.000000003158954332</v>
      </c>
      <c r="F65" s="408">
        <f t="shared" si="14"/>
        <v>16306617.46</v>
      </c>
      <c r="G65" s="408">
        <f t="shared" si="15"/>
        <v>30373143.87</v>
      </c>
      <c r="H65" s="410">
        <f t="shared" si="16"/>
        <v>0.0275</v>
      </c>
      <c r="I65" s="1">
        <f t="shared" si="1"/>
        <v>54</v>
      </c>
      <c r="J65" s="406">
        <f t="shared" si="17"/>
        <v>45809</v>
      </c>
      <c r="K65" s="105">
        <f t="shared" si="9"/>
        <v>5</v>
      </c>
      <c r="L65" s="411">
        <f t="shared" si="10"/>
        <v>0</v>
      </c>
      <c r="M65" s="407">
        <f t="shared" si="2"/>
        <v>0</v>
      </c>
      <c r="N65" s="407">
        <f t="shared" si="3"/>
        <v>0</v>
      </c>
      <c r="O65" s="407">
        <f t="shared" si="4"/>
        <v>-0.000000003158954332</v>
      </c>
      <c r="P65" s="368" t="str">
        <f>IF(AND(K65&gt;K64,K65-2+1='Pro Forma Detail'!D$66),E62,)</f>
        <v/>
      </c>
      <c r="Q65" s="369" t="str">
        <f t="shared" si="11"/>
        <v/>
      </c>
      <c r="R65" s="370">
        <f t="shared" si="12"/>
        <v>0</v>
      </c>
      <c r="S65" s="370">
        <f t="shared" si="13"/>
        <v>0</v>
      </c>
      <c r="T65" s="1"/>
    </row>
    <row r="66" ht="12.75" customHeight="1">
      <c r="A66" s="1">
        <v>55.0</v>
      </c>
      <c r="B66" s="408">
        <f t="shared" si="5"/>
        <v>0</v>
      </c>
      <c r="C66" s="408">
        <f t="shared" si="6"/>
        <v>0</v>
      </c>
      <c r="D66" s="409">
        <f t="shared" si="7"/>
        <v>0</v>
      </c>
      <c r="E66" s="176">
        <f t="shared" si="8"/>
        <v>-0.000000003151819618</v>
      </c>
      <c r="F66" s="408">
        <f t="shared" si="14"/>
        <v>16306617.46</v>
      </c>
      <c r="G66" s="408">
        <f t="shared" si="15"/>
        <v>30373143.87</v>
      </c>
      <c r="H66" s="410">
        <f t="shared" si="16"/>
        <v>0.0275</v>
      </c>
      <c r="I66" s="1">
        <f t="shared" si="1"/>
        <v>55</v>
      </c>
      <c r="J66" s="406">
        <f t="shared" si="17"/>
        <v>45839</v>
      </c>
      <c r="K66" s="105">
        <f t="shared" si="9"/>
        <v>5</v>
      </c>
      <c r="L66" s="411">
        <f t="shared" si="10"/>
        <v>0</v>
      </c>
      <c r="M66" s="407">
        <f t="shared" si="2"/>
        <v>0</v>
      </c>
      <c r="N66" s="407">
        <f t="shared" si="3"/>
        <v>0</v>
      </c>
      <c r="O66" s="407">
        <f t="shared" si="4"/>
        <v>-0.000000003151819618</v>
      </c>
      <c r="P66" s="368" t="str">
        <f>IF(AND(K66&gt;K65,K66-2+1='Pro Forma Detail'!D$66),E63,)</f>
        <v/>
      </c>
      <c r="Q66" s="369" t="str">
        <f t="shared" si="11"/>
        <v/>
      </c>
      <c r="R66" s="370">
        <f t="shared" si="12"/>
        <v>0</v>
      </c>
      <c r="S66" s="370">
        <f t="shared" si="13"/>
        <v>0</v>
      </c>
      <c r="T66" s="1"/>
    </row>
    <row r="67" ht="12.75" customHeight="1">
      <c r="A67" s="1">
        <v>56.0</v>
      </c>
      <c r="B67" s="408">
        <f t="shared" si="5"/>
        <v>0</v>
      </c>
      <c r="C67" s="408">
        <f t="shared" si="6"/>
        <v>0</v>
      </c>
      <c r="D67" s="409">
        <f t="shared" si="7"/>
        <v>0</v>
      </c>
      <c r="E67" s="176">
        <f t="shared" si="8"/>
        <v>-0.000000003144668552</v>
      </c>
      <c r="F67" s="408">
        <f t="shared" si="14"/>
        <v>16306617.46</v>
      </c>
      <c r="G67" s="408">
        <f t="shared" si="15"/>
        <v>30373143.87</v>
      </c>
      <c r="H67" s="410">
        <f t="shared" si="16"/>
        <v>0.0275</v>
      </c>
      <c r="I67" s="1">
        <f t="shared" si="1"/>
        <v>56</v>
      </c>
      <c r="J67" s="406">
        <f t="shared" si="17"/>
        <v>45870</v>
      </c>
      <c r="K67" s="105">
        <f t="shared" si="9"/>
        <v>5</v>
      </c>
      <c r="L67" s="411">
        <f t="shared" si="10"/>
        <v>0</v>
      </c>
      <c r="M67" s="407">
        <f t="shared" si="2"/>
        <v>0</v>
      </c>
      <c r="N67" s="407">
        <f t="shared" si="3"/>
        <v>0</v>
      </c>
      <c r="O67" s="407">
        <f t="shared" si="4"/>
        <v>-0.000000003144668552</v>
      </c>
      <c r="P67" s="368" t="str">
        <f>IF(AND(K67&gt;K66,K67-2+1='Pro Forma Detail'!D$66),E64,)</f>
        <v/>
      </c>
      <c r="Q67" s="369" t="str">
        <f t="shared" si="11"/>
        <v/>
      </c>
      <c r="R67" s="370">
        <f t="shared" si="12"/>
        <v>0</v>
      </c>
      <c r="S67" s="370">
        <f t="shared" si="13"/>
        <v>0</v>
      </c>
      <c r="T67" s="1"/>
    </row>
    <row r="68" ht="12.75" customHeight="1">
      <c r="A68" s="1">
        <v>57.0</v>
      </c>
      <c r="B68" s="408">
        <f t="shared" si="5"/>
        <v>0</v>
      </c>
      <c r="C68" s="408">
        <f t="shared" si="6"/>
        <v>0</v>
      </c>
      <c r="D68" s="409">
        <f t="shared" si="7"/>
        <v>0</v>
      </c>
      <c r="E68" s="176">
        <f t="shared" si="8"/>
        <v>-0.000000003137501099</v>
      </c>
      <c r="F68" s="408">
        <f t="shared" si="14"/>
        <v>16306617.46</v>
      </c>
      <c r="G68" s="408">
        <f t="shared" si="15"/>
        <v>30373143.87</v>
      </c>
      <c r="H68" s="410">
        <f t="shared" si="16"/>
        <v>0.0275</v>
      </c>
      <c r="I68" s="1">
        <f t="shared" si="1"/>
        <v>57</v>
      </c>
      <c r="J68" s="406">
        <f t="shared" si="17"/>
        <v>45901</v>
      </c>
      <c r="K68" s="105">
        <f t="shared" si="9"/>
        <v>5</v>
      </c>
      <c r="L68" s="411">
        <f t="shared" si="10"/>
        <v>0</v>
      </c>
      <c r="M68" s="407">
        <f t="shared" si="2"/>
        <v>0</v>
      </c>
      <c r="N68" s="407">
        <f t="shared" si="3"/>
        <v>0</v>
      </c>
      <c r="O68" s="407">
        <f t="shared" si="4"/>
        <v>-0.000000003137501099</v>
      </c>
      <c r="P68" s="368" t="str">
        <f>IF(AND(K68&gt;K67,K68-2+1='Pro Forma Detail'!D$66),E65,)</f>
        <v/>
      </c>
      <c r="Q68" s="369" t="str">
        <f t="shared" si="11"/>
        <v/>
      </c>
      <c r="R68" s="370">
        <f t="shared" si="12"/>
        <v>0</v>
      </c>
      <c r="S68" s="370">
        <f t="shared" si="13"/>
        <v>0</v>
      </c>
      <c r="T68" s="1"/>
    </row>
    <row r="69" ht="12.75" customHeight="1">
      <c r="A69" s="1">
        <v>58.0</v>
      </c>
      <c r="B69" s="408">
        <f t="shared" si="5"/>
        <v>0</v>
      </c>
      <c r="C69" s="408">
        <f t="shared" si="6"/>
        <v>0</v>
      </c>
      <c r="D69" s="409">
        <f t="shared" si="7"/>
        <v>0</v>
      </c>
      <c r="E69" s="176">
        <f t="shared" si="8"/>
        <v>-0.000000003130317221</v>
      </c>
      <c r="F69" s="408">
        <f t="shared" si="14"/>
        <v>16306617.46</v>
      </c>
      <c r="G69" s="408">
        <f t="shared" si="15"/>
        <v>30373143.87</v>
      </c>
      <c r="H69" s="410">
        <f t="shared" si="16"/>
        <v>0.0275</v>
      </c>
      <c r="I69" s="1">
        <f t="shared" si="1"/>
        <v>58</v>
      </c>
      <c r="J69" s="406">
        <f t="shared" si="17"/>
        <v>45931</v>
      </c>
      <c r="K69" s="105">
        <f t="shared" si="9"/>
        <v>5</v>
      </c>
      <c r="L69" s="411">
        <f t="shared" si="10"/>
        <v>0</v>
      </c>
      <c r="M69" s="407">
        <f t="shared" si="2"/>
        <v>0</v>
      </c>
      <c r="N69" s="407">
        <f t="shared" si="3"/>
        <v>0</v>
      </c>
      <c r="O69" s="407">
        <f t="shared" si="4"/>
        <v>-0.000000003130317221</v>
      </c>
      <c r="P69" s="368" t="str">
        <f>IF(AND(K69&gt;K68,K69-2+1='Pro Forma Detail'!D$66),E66,)</f>
        <v/>
      </c>
      <c r="Q69" s="369" t="str">
        <f t="shared" si="11"/>
        <v/>
      </c>
      <c r="R69" s="370">
        <f t="shared" si="12"/>
        <v>0</v>
      </c>
      <c r="S69" s="370">
        <f t="shared" si="13"/>
        <v>0</v>
      </c>
      <c r="T69" s="1"/>
    </row>
    <row r="70" ht="12.75" customHeight="1">
      <c r="A70" s="1">
        <v>59.0</v>
      </c>
      <c r="B70" s="408">
        <f t="shared" si="5"/>
        <v>0</v>
      </c>
      <c r="C70" s="408">
        <f t="shared" si="6"/>
        <v>0</v>
      </c>
      <c r="D70" s="409">
        <f t="shared" si="7"/>
        <v>0</v>
      </c>
      <c r="E70" s="176">
        <f t="shared" si="8"/>
        <v>-0.000000003123116879</v>
      </c>
      <c r="F70" s="408">
        <f t="shared" si="14"/>
        <v>16306617.46</v>
      </c>
      <c r="G70" s="408">
        <f t="shared" si="15"/>
        <v>30373143.87</v>
      </c>
      <c r="H70" s="410">
        <f t="shared" si="16"/>
        <v>0.0275</v>
      </c>
      <c r="I70" s="1">
        <f t="shared" si="1"/>
        <v>59</v>
      </c>
      <c r="J70" s="406">
        <f t="shared" si="17"/>
        <v>45962</v>
      </c>
      <c r="K70" s="105">
        <f t="shared" si="9"/>
        <v>5</v>
      </c>
      <c r="L70" s="411">
        <f t="shared" si="10"/>
        <v>0</v>
      </c>
      <c r="M70" s="407">
        <f t="shared" si="2"/>
        <v>0</v>
      </c>
      <c r="N70" s="407">
        <f t="shared" si="3"/>
        <v>0</v>
      </c>
      <c r="O70" s="407">
        <f t="shared" si="4"/>
        <v>-0.000000003123116879</v>
      </c>
      <c r="P70" s="368" t="str">
        <f>IF(AND(K70&gt;K69,K70-2+1='Pro Forma Detail'!D$66),E67,)</f>
        <v/>
      </c>
      <c r="Q70" s="369" t="str">
        <f t="shared" si="11"/>
        <v/>
      </c>
      <c r="R70" s="370">
        <f t="shared" si="12"/>
        <v>0</v>
      </c>
      <c r="S70" s="370">
        <f t="shared" si="13"/>
        <v>0</v>
      </c>
      <c r="T70" s="1"/>
    </row>
    <row r="71" ht="12.75" customHeight="1">
      <c r="A71" s="1">
        <v>60.0</v>
      </c>
      <c r="B71" s="408">
        <f t="shared" si="5"/>
        <v>0</v>
      </c>
      <c r="C71" s="408">
        <f t="shared" si="6"/>
        <v>0</v>
      </c>
      <c r="D71" s="409">
        <f t="shared" si="7"/>
        <v>0</v>
      </c>
      <c r="E71" s="176">
        <f t="shared" si="8"/>
        <v>-0.000000003115900037</v>
      </c>
      <c r="F71" s="408">
        <f t="shared" si="14"/>
        <v>16306617.46</v>
      </c>
      <c r="G71" s="408">
        <f t="shared" si="15"/>
        <v>30373143.87</v>
      </c>
      <c r="H71" s="410">
        <f t="shared" si="16"/>
        <v>0.0275</v>
      </c>
      <c r="I71" s="1">
        <f t="shared" si="1"/>
        <v>60</v>
      </c>
      <c r="J71" s="406">
        <f t="shared" si="17"/>
        <v>45992</v>
      </c>
      <c r="K71" s="105">
        <f t="shared" si="9"/>
        <v>5</v>
      </c>
      <c r="L71" s="411">
        <f t="shared" si="10"/>
        <v>0</v>
      </c>
      <c r="M71" s="407">
        <f t="shared" si="2"/>
        <v>0</v>
      </c>
      <c r="N71" s="407">
        <f t="shared" si="3"/>
        <v>0</v>
      </c>
      <c r="O71" s="407">
        <f t="shared" si="4"/>
        <v>-0.000000003115900037</v>
      </c>
      <c r="P71" s="368" t="str">
        <f>IF(AND(K71&gt;K70,K71-2+1='Pro Forma Detail'!D$66),E68,)</f>
        <v/>
      </c>
      <c r="Q71" s="369" t="str">
        <f t="shared" si="11"/>
        <v/>
      </c>
      <c r="R71" s="370">
        <f t="shared" si="12"/>
        <v>0</v>
      </c>
      <c r="S71" s="370">
        <f t="shared" si="13"/>
        <v>0</v>
      </c>
      <c r="T71" s="1"/>
    </row>
    <row r="72" ht="12.75" customHeight="1">
      <c r="A72" s="1">
        <v>61.0</v>
      </c>
      <c r="B72" s="408">
        <f t="shared" si="5"/>
        <v>0</v>
      </c>
      <c r="C72" s="408">
        <f t="shared" si="6"/>
        <v>0</v>
      </c>
      <c r="D72" s="409">
        <f t="shared" si="7"/>
        <v>0</v>
      </c>
      <c r="E72" s="176">
        <f t="shared" si="8"/>
        <v>-0.000000003108666656</v>
      </c>
      <c r="F72" s="408">
        <f t="shared" si="14"/>
        <v>16306617.46</v>
      </c>
      <c r="G72" s="408">
        <f t="shared" si="15"/>
        <v>30373143.87</v>
      </c>
      <c r="H72" s="410">
        <f t="shared" si="16"/>
        <v>0.0275</v>
      </c>
      <c r="I72" s="1">
        <f t="shared" si="1"/>
        <v>61</v>
      </c>
      <c r="J72" s="406">
        <f t="shared" si="17"/>
        <v>46023</v>
      </c>
      <c r="K72" s="105">
        <f t="shared" si="9"/>
        <v>6</v>
      </c>
      <c r="L72" s="411">
        <f t="shared" si="10"/>
        <v>0</v>
      </c>
      <c r="M72" s="407">
        <f t="shared" si="2"/>
        <v>0</v>
      </c>
      <c r="N72" s="407">
        <f t="shared" si="3"/>
        <v>0</v>
      </c>
      <c r="O72" s="407">
        <f t="shared" si="4"/>
        <v>-0.000000003108666656</v>
      </c>
      <c r="P72" s="368" t="str">
        <f>IF(AND(K72&gt;K71,K72-2+1='Pro Forma Detail'!D$66),E69,)</f>
        <v/>
      </c>
      <c r="Q72" s="369" t="str">
        <f t="shared" si="11"/>
        <v/>
      </c>
      <c r="R72" s="370">
        <f t="shared" si="12"/>
        <v>0</v>
      </c>
      <c r="S72" s="370">
        <f t="shared" si="13"/>
        <v>0</v>
      </c>
      <c r="T72" s="1"/>
    </row>
    <row r="73" ht="12.75" customHeight="1">
      <c r="A73" s="1">
        <v>62.0</v>
      </c>
      <c r="B73" s="408">
        <f t="shared" si="5"/>
        <v>0</v>
      </c>
      <c r="C73" s="408">
        <f t="shared" si="6"/>
        <v>0</v>
      </c>
      <c r="D73" s="409">
        <f t="shared" si="7"/>
        <v>0</v>
      </c>
      <c r="E73" s="176">
        <f t="shared" si="8"/>
        <v>-0.000000003101416699</v>
      </c>
      <c r="F73" s="408">
        <f t="shared" si="14"/>
        <v>16306617.46</v>
      </c>
      <c r="G73" s="408">
        <f t="shared" si="15"/>
        <v>30373143.87</v>
      </c>
      <c r="H73" s="410">
        <f t="shared" si="16"/>
        <v>0.0275</v>
      </c>
      <c r="I73" s="1">
        <f t="shared" si="1"/>
        <v>62</v>
      </c>
      <c r="J73" s="406">
        <f t="shared" si="17"/>
        <v>46054</v>
      </c>
      <c r="K73" s="105">
        <f t="shared" si="9"/>
        <v>6</v>
      </c>
      <c r="L73" s="411">
        <f t="shared" si="10"/>
        <v>0</v>
      </c>
      <c r="M73" s="407">
        <f t="shared" si="2"/>
        <v>0</v>
      </c>
      <c r="N73" s="407">
        <f t="shared" si="3"/>
        <v>0</v>
      </c>
      <c r="O73" s="407">
        <f t="shared" si="4"/>
        <v>-0.000000003101416699</v>
      </c>
      <c r="P73" s="368" t="str">
        <f>IF(AND(K73&gt;K72,K73-2+1='Pro Forma Detail'!D$66),E70,)</f>
        <v/>
      </c>
      <c r="Q73" s="369" t="str">
        <f t="shared" si="11"/>
        <v/>
      </c>
      <c r="R73" s="370">
        <f t="shared" si="12"/>
        <v>0</v>
      </c>
      <c r="S73" s="370">
        <f t="shared" si="13"/>
        <v>0</v>
      </c>
      <c r="T73" s="1"/>
    </row>
    <row r="74" ht="12.75" customHeight="1">
      <c r="A74" s="1">
        <v>63.0</v>
      </c>
      <c r="B74" s="408">
        <f t="shared" si="5"/>
        <v>0</v>
      </c>
      <c r="C74" s="408">
        <f t="shared" si="6"/>
        <v>0</v>
      </c>
      <c r="D74" s="409">
        <f t="shared" si="7"/>
        <v>0</v>
      </c>
      <c r="E74" s="176">
        <f t="shared" si="8"/>
        <v>-0.000000003094150127</v>
      </c>
      <c r="F74" s="408">
        <f t="shared" si="14"/>
        <v>16306617.46</v>
      </c>
      <c r="G74" s="408">
        <f t="shared" si="15"/>
        <v>30373143.87</v>
      </c>
      <c r="H74" s="410">
        <f t="shared" si="16"/>
        <v>0.0275</v>
      </c>
      <c r="I74" s="1">
        <f t="shared" si="1"/>
        <v>63</v>
      </c>
      <c r="J74" s="406">
        <f t="shared" si="17"/>
        <v>46082</v>
      </c>
      <c r="K74" s="105">
        <f t="shared" si="9"/>
        <v>6</v>
      </c>
      <c r="L74" s="411">
        <f t="shared" si="10"/>
        <v>0</v>
      </c>
      <c r="M74" s="407">
        <f t="shared" si="2"/>
        <v>0</v>
      </c>
      <c r="N74" s="407">
        <f t="shared" si="3"/>
        <v>0</v>
      </c>
      <c r="O74" s="407">
        <f t="shared" si="4"/>
        <v>-0.000000003094150127</v>
      </c>
      <c r="P74" s="368" t="str">
        <f>IF(AND(K74&gt;K73,K74-2+1='Pro Forma Detail'!D$66),E71,)</f>
        <v/>
      </c>
      <c r="Q74" s="369" t="str">
        <f t="shared" si="11"/>
        <v/>
      </c>
      <c r="R74" s="370">
        <f t="shared" si="12"/>
        <v>0</v>
      </c>
      <c r="S74" s="370">
        <f t="shared" si="13"/>
        <v>0</v>
      </c>
      <c r="T74" s="1"/>
    </row>
    <row r="75" ht="12.75" customHeight="1">
      <c r="A75" s="1">
        <v>64.0</v>
      </c>
      <c r="B75" s="408">
        <f t="shared" si="5"/>
        <v>0</v>
      </c>
      <c r="C75" s="408">
        <f t="shared" si="6"/>
        <v>0</v>
      </c>
      <c r="D75" s="409">
        <f t="shared" si="7"/>
        <v>0</v>
      </c>
      <c r="E75" s="176">
        <f t="shared" si="8"/>
        <v>-0.000000003086866903</v>
      </c>
      <c r="F75" s="408">
        <f t="shared" si="14"/>
        <v>16306617.46</v>
      </c>
      <c r="G75" s="408">
        <f t="shared" si="15"/>
        <v>30373143.87</v>
      </c>
      <c r="H75" s="410">
        <f t="shared" si="16"/>
        <v>0.0275</v>
      </c>
      <c r="I75" s="1">
        <f t="shared" si="1"/>
        <v>64</v>
      </c>
      <c r="J75" s="406">
        <f t="shared" si="17"/>
        <v>46113</v>
      </c>
      <c r="K75" s="105">
        <f t="shared" si="9"/>
        <v>6</v>
      </c>
      <c r="L75" s="411">
        <f t="shared" si="10"/>
        <v>0</v>
      </c>
      <c r="M75" s="407">
        <f t="shared" si="2"/>
        <v>0</v>
      </c>
      <c r="N75" s="407">
        <f t="shared" si="3"/>
        <v>0</v>
      </c>
      <c r="O75" s="407">
        <f t="shared" si="4"/>
        <v>-0.000000003086866903</v>
      </c>
      <c r="P75" s="368" t="str">
        <f>IF(AND(K75&gt;K74,K75-2+1='Pro Forma Detail'!D$66),E72,)</f>
        <v/>
      </c>
      <c r="Q75" s="369" t="str">
        <f t="shared" si="11"/>
        <v/>
      </c>
      <c r="R75" s="370">
        <f t="shared" si="12"/>
        <v>0</v>
      </c>
      <c r="S75" s="370">
        <f t="shared" si="13"/>
        <v>0</v>
      </c>
      <c r="T75" s="1"/>
    </row>
    <row r="76" ht="12.75" customHeight="1">
      <c r="A76" s="1">
        <v>65.0</v>
      </c>
      <c r="B76" s="408">
        <f t="shared" si="5"/>
        <v>0</v>
      </c>
      <c r="C76" s="408">
        <f t="shared" si="6"/>
        <v>0</v>
      </c>
      <c r="D76" s="409">
        <f t="shared" si="7"/>
        <v>0</v>
      </c>
      <c r="E76" s="176">
        <f t="shared" si="8"/>
        <v>-0.000000003079566988</v>
      </c>
      <c r="F76" s="408">
        <f t="shared" si="14"/>
        <v>16306617.46</v>
      </c>
      <c r="G76" s="408">
        <f t="shared" si="15"/>
        <v>30373143.87</v>
      </c>
      <c r="H76" s="410">
        <f t="shared" si="16"/>
        <v>0.0275</v>
      </c>
      <c r="I76" s="1">
        <f t="shared" si="1"/>
        <v>65</v>
      </c>
      <c r="J76" s="406">
        <f t="shared" si="17"/>
        <v>46143</v>
      </c>
      <c r="K76" s="105">
        <f t="shared" si="9"/>
        <v>6</v>
      </c>
      <c r="L76" s="411">
        <f t="shared" si="10"/>
        <v>0</v>
      </c>
      <c r="M76" s="407">
        <f t="shared" si="2"/>
        <v>0</v>
      </c>
      <c r="N76" s="407">
        <f t="shared" si="3"/>
        <v>0</v>
      </c>
      <c r="O76" s="407">
        <f t="shared" si="4"/>
        <v>-0.000000003079566988</v>
      </c>
      <c r="P76" s="368" t="str">
        <f>IF(AND(K76&gt;K75,K76-2+1='Pro Forma Detail'!D$66),E73,)</f>
        <v/>
      </c>
      <c r="Q76" s="369" t="str">
        <f t="shared" si="11"/>
        <v/>
      </c>
      <c r="R76" s="370">
        <f t="shared" si="12"/>
        <v>0</v>
      </c>
      <c r="S76" s="370">
        <f t="shared" si="13"/>
        <v>0</v>
      </c>
      <c r="T76" s="1"/>
    </row>
    <row r="77" ht="12.75" customHeight="1">
      <c r="A77" s="1">
        <v>66.0</v>
      </c>
      <c r="B77" s="408">
        <f t="shared" si="5"/>
        <v>0</v>
      </c>
      <c r="C77" s="408">
        <f t="shared" si="6"/>
        <v>0</v>
      </c>
      <c r="D77" s="409">
        <f t="shared" si="7"/>
        <v>0</v>
      </c>
      <c r="E77" s="176">
        <f t="shared" si="8"/>
        <v>-0.000000003072250343</v>
      </c>
      <c r="F77" s="408">
        <f t="shared" si="14"/>
        <v>16306617.46</v>
      </c>
      <c r="G77" s="408">
        <f t="shared" si="15"/>
        <v>30373143.87</v>
      </c>
      <c r="H77" s="410">
        <f t="shared" si="16"/>
        <v>0.0275</v>
      </c>
      <c r="I77" s="1">
        <f t="shared" si="1"/>
        <v>66</v>
      </c>
      <c r="J77" s="406">
        <f t="shared" si="17"/>
        <v>46174</v>
      </c>
      <c r="K77" s="105">
        <f t="shared" si="9"/>
        <v>6</v>
      </c>
      <c r="L77" s="411">
        <f t="shared" si="10"/>
        <v>0</v>
      </c>
      <c r="M77" s="407">
        <f t="shared" si="2"/>
        <v>0</v>
      </c>
      <c r="N77" s="407">
        <f t="shared" si="3"/>
        <v>0</v>
      </c>
      <c r="O77" s="407">
        <f t="shared" si="4"/>
        <v>-0.000000003072250343</v>
      </c>
      <c r="P77" s="368" t="str">
        <f>IF(AND(K77&gt;K76,K77-2+1='Pro Forma Detail'!D$66),E74,)</f>
        <v/>
      </c>
      <c r="Q77" s="369" t="str">
        <f t="shared" si="11"/>
        <v/>
      </c>
      <c r="R77" s="370">
        <f t="shared" si="12"/>
        <v>0</v>
      </c>
      <c r="S77" s="370">
        <f t="shared" si="13"/>
        <v>0</v>
      </c>
      <c r="T77" s="1"/>
    </row>
    <row r="78" ht="12.75" customHeight="1">
      <c r="A78" s="1">
        <v>67.0</v>
      </c>
      <c r="B78" s="408">
        <f t="shared" si="5"/>
        <v>0</v>
      </c>
      <c r="C78" s="408">
        <f t="shared" si="6"/>
        <v>0</v>
      </c>
      <c r="D78" s="409">
        <f t="shared" si="7"/>
        <v>0</v>
      </c>
      <c r="E78" s="176">
        <f t="shared" si="8"/>
        <v>-0.000000003064916932</v>
      </c>
      <c r="F78" s="408">
        <f t="shared" si="14"/>
        <v>16306617.46</v>
      </c>
      <c r="G78" s="408">
        <f t="shared" si="15"/>
        <v>30373143.87</v>
      </c>
      <c r="H78" s="410">
        <f t="shared" si="16"/>
        <v>0.0275</v>
      </c>
      <c r="I78" s="1">
        <f t="shared" si="1"/>
        <v>67</v>
      </c>
      <c r="J78" s="406">
        <f t="shared" si="17"/>
        <v>46204</v>
      </c>
      <c r="K78" s="105">
        <f t="shared" si="9"/>
        <v>6</v>
      </c>
      <c r="L78" s="411">
        <f t="shared" si="10"/>
        <v>0</v>
      </c>
      <c r="M78" s="407">
        <f t="shared" si="2"/>
        <v>0</v>
      </c>
      <c r="N78" s="407">
        <f t="shared" si="3"/>
        <v>0</v>
      </c>
      <c r="O78" s="407">
        <f t="shared" si="4"/>
        <v>-0.000000003064916932</v>
      </c>
      <c r="P78" s="368" t="str">
        <f>IF(AND(K78&gt;K77,K78-2+1='Pro Forma Detail'!D$66),E75,)</f>
        <v/>
      </c>
      <c r="Q78" s="369" t="str">
        <f t="shared" si="11"/>
        <v/>
      </c>
      <c r="R78" s="370">
        <f t="shared" si="12"/>
        <v>0</v>
      </c>
      <c r="S78" s="370">
        <f t="shared" si="13"/>
        <v>0</v>
      </c>
      <c r="T78" s="1"/>
    </row>
    <row r="79" ht="12.75" customHeight="1">
      <c r="A79" s="1">
        <v>68.0</v>
      </c>
      <c r="B79" s="408">
        <f t="shared" si="5"/>
        <v>0</v>
      </c>
      <c r="C79" s="408">
        <f t="shared" si="6"/>
        <v>0</v>
      </c>
      <c r="D79" s="409">
        <f t="shared" si="7"/>
        <v>0</v>
      </c>
      <c r="E79" s="176">
        <f t="shared" si="8"/>
        <v>-0.000000003057566715</v>
      </c>
      <c r="F79" s="408">
        <f t="shared" si="14"/>
        <v>16306617.46</v>
      </c>
      <c r="G79" s="408">
        <f t="shared" si="15"/>
        <v>30373143.87</v>
      </c>
      <c r="H79" s="410">
        <f t="shared" si="16"/>
        <v>0.0275</v>
      </c>
      <c r="I79" s="1">
        <f t="shared" si="1"/>
        <v>68</v>
      </c>
      <c r="J79" s="406">
        <f t="shared" si="17"/>
        <v>46235</v>
      </c>
      <c r="K79" s="105">
        <f t="shared" si="9"/>
        <v>6</v>
      </c>
      <c r="L79" s="411">
        <f t="shared" si="10"/>
        <v>0</v>
      </c>
      <c r="M79" s="407">
        <f t="shared" si="2"/>
        <v>0</v>
      </c>
      <c r="N79" s="407">
        <f t="shared" si="3"/>
        <v>0</v>
      </c>
      <c r="O79" s="407">
        <f t="shared" si="4"/>
        <v>-0.000000003057566715</v>
      </c>
      <c r="P79" s="368" t="str">
        <f>IF(AND(K79&gt;K78,K79-2+1='Pro Forma Detail'!D$66),E76,)</f>
        <v/>
      </c>
      <c r="Q79" s="369" t="str">
        <f t="shared" si="11"/>
        <v/>
      </c>
      <c r="R79" s="370">
        <f t="shared" si="12"/>
        <v>0</v>
      </c>
      <c r="S79" s="370">
        <f t="shared" si="13"/>
        <v>0</v>
      </c>
      <c r="T79" s="1"/>
    </row>
    <row r="80" ht="12.75" customHeight="1">
      <c r="A80" s="1">
        <v>69.0</v>
      </c>
      <c r="B80" s="408">
        <f t="shared" si="5"/>
        <v>0</v>
      </c>
      <c r="C80" s="408">
        <f t="shared" si="6"/>
        <v>0</v>
      </c>
      <c r="D80" s="409">
        <f t="shared" si="7"/>
        <v>0</v>
      </c>
      <c r="E80" s="176">
        <f t="shared" si="8"/>
        <v>-0.000000003050199654</v>
      </c>
      <c r="F80" s="408">
        <f t="shared" si="14"/>
        <v>16306617.46</v>
      </c>
      <c r="G80" s="408">
        <f t="shared" si="15"/>
        <v>30373143.87</v>
      </c>
      <c r="H80" s="410">
        <f t="shared" si="16"/>
        <v>0.0275</v>
      </c>
      <c r="I80" s="1">
        <f t="shared" si="1"/>
        <v>69</v>
      </c>
      <c r="J80" s="406">
        <f t="shared" si="17"/>
        <v>46266</v>
      </c>
      <c r="K80" s="105">
        <f t="shared" si="9"/>
        <v>6</v>
      </c>
      <c r="L80" s="411">
        <f t="shared" si="10"/>
        <v>0</v>
      </c>
      <c r="M80" s="407">
        <f t="shared" si="2"/>
        <v>0</v>
      </c>
      <c r="N80" s="407">
        <f t="shared" si="3"/>
        <v>0</v>
      </c>
      <c r="O80" s="407">
        <f t="shared" si="4"/>
        <v>-0.000000003050199654</v>
      </c>
      <c r="P80" s="368" t="str">
        <f>IF(AND(K80&gt;K79,K80-2+1='Pro Forma Detail'!D$66),E77,)</f>
        <v/>
      </c>
      <c r="Q80" s="369" t="str">
        <f t="shared" si="11"/>
        <v/>
      </c>
      <c r="R80" s="370">
        <f t="shared" si="12"/>
        <v>0</v>
      </c>
      <c r="S80" s="370">
        <f t="shared" si="13"/>
        <v>0</v>
      </c>
      <c r="T80" s="1"/>
    </row>
    <row r="81" ht="12.75" customHeight="1">
      <c r="A81" s="1">
        <v>70.0</v>
      </c>
      <c r="B81" s="408">
        <f t="shared" si="5"/>
        <v>0</v>
      </c>
      <c r="C81" s="408">
        <f t="shared" si="6"/>
        <v>0</v>
      </c>
      <c r="D81" s="409">
        <f t="shared" si="7"/>
        <v>0</v>
      </c>
      <c r="E81" s="176">
        <f t="shared" si="8"/>
        <v>-0.000000003042815709</v>
      </c>
      <c r="F81" s="408">
        <f t="shared" si="14"/>
        <v>16306617.46</v>
      </c>
      <c r="G81" s="408">
        <f t="shared" si="15"/>
        <v>30373143.87</v>
      </c>
      <c r="H81" s="410">
        <f t="shared" si="16"/>
        <v>0.0275</v>
      </c>
      <c r="I81" s="1">
        <f t="shared" si="1"/>
        <v>70</v>
      </c>
      <c r="J81" s="406">
        <f t="shared" si="17"/>
        <v>46296</v>
      </c>
      <c r="K81" s="105">
        <f t="shared" si="9"/>
        <v>6</v>
      </c>
      <c r="L81" s="411">
        <f t="shared" si="10"/>
        <v>0</v>
      </c>
      <c r="M81" s="407">
        <f t="shared" si="2"/>
        <v>0</v>
      </c>
      <c r="N81" s="407">
        <f t="shared" si="3"/>
        <v>0</v>
      </c>
      <c r="O81" s="407">
        <f t="shared" si="4"/>
        <v>-0.000000003042815709</v>
      </c>
      <c r="P81" s="368" t="str">
        <f>IF(AND(K81&gt;K80,K81-2+1='Pro Forma Detail'!D$66),E78,)</f>
        <v/>
      </c>
      <c r="Q81" s="369" t="str">
        <f t="shared" si="11"/>
        <v/>
      </c>
      <c r="R81" s="370">
        <f t="shared" si="12"/>
        <v>0</v>
      </c>
      <c r="S81" s="370">
        <f t="shared" si="13"/>
        <v>0</v>
      </c>
      <c r="T81" s="1"/>
    </row>
    <row r="82" ht="12.75" customHeight="1">
      <c r="A82" s="1">
        <v>71.0</v>
      </c>
      <c r="B82" s="408">
        <f t="shared" si="5"/>
        <v>0</v>
      </c>
      <c r="C82" s="408">
        <f t="shared" si="6"/>
        <v>0</v>
      </c>
      <c r="D82" s="409">
        <f t="shared" si="7"/>
        <v>0</v>
      </c>
      <c r="E82" s="176">
        <f t="shared" si="8"/>
        <v>-0.000000003035414844</v>
      </c>
      <c r="F82" s="408">
        <f t="shared" si="14"/>
        <v>16306617.46</v>
      </c>
      <c r="G82" s="408">
        <f t="shared" si="15"/>
        <v>30373143.87</v>
      </c>
      <c r="H82" s="410">
        <f t="shared" si="16"/>
        <v>0.0275</v>
      </c>
      <c r="I82" s="1">
        <f t="shared" si="1"/>
        <v>71</v>
      </c>
      <c r="J82" s="406">
        <f t="shared" si="17"/>
        <v>46327</v>
      </c>
      <c r="K82" s="105">
        <f t="shared" si="9"/>
        <v>6</v>
      </c>
      <c r="L82" s="411">
        <f t="shared" si="10"/>
        <v>0</v>
      </c>
      <c r="M82" s="407">
        <f t="shared" si="2"/>
        <v>0</v>
      </c>
      <c r="N82" s="407">
        <f t="shared" si="3"/>
        <v>0</v>
      </c>
      <c r="O82" s="407">
        <f t="shared" si="4"/>
        <v>-0.000000003035414844</v>
      </c>
      <c r="P82" s="368" t="str">
        <f>IF(AND(K82&gt;K81,K82-2+1='Pro Forma Detail'!D$66),E79,)</f>
        <v/>
      </c>
      <c r="Q82" s="369" t="str">
        <f t="shared" si="11"/>
        <v/>
      </c>
      <c r="R82" s="370">
        <f t="shared" si="12"/>
        <v>0</v>
      </c>
      <c r="S82" s="370">
        <f t="shared" si="13"/>
        <v>0</v>
      </c>
      <c r="T82" s="1"/>
    </row>
    <row r="83" ht="12.75" customHeight="1">
      <c r="A83" s="1">
        <v>72.0</v>
      </c>
      <c r="B83" s="408">
        <f t="shared" si="5"/>
        <v>0</v>
      </c>
      <c r="C83" s="408">
        <f t="shared" si="6"/>
        <v>0</v>
      </c>
      <c r="D83" s="409">
        <f t="shared" si="7"/>
        <v>0</v>
      </c>
      <c r="E83" s="176">
        <f t="shared" si="8"/>
        <v>-0.000000003027997017</v>
      </c>
      <c r="F83" s="408">
        <f t="shared" si="14"/>
        <v>16306617.46</v>
      </c>
      <c r="G83" s="408">
        <f t="shared" si="15"/>
        <v>30373143.87</v>
      </c>
      <c r="H83" s="410">
        <f t="shared" si="16"/>
        <v>0.0275</v>
      </c>
      <c r="I83" s="1">
        <f t="shared" si="1"/>
        <v>72</v>
      </c>
      <c r="J83" s="406">
        <f t="shared" si="17"/>
        <v>46357</v>
      </c>
      <c r="K83" s="105">
        <f t="shared" si="9"/>
        <v>6</v>
      </c>
      <c r="L83" s="411">
        <f t="shared" si="10"/>
        <v>0</v>
      </c>
      <c r="M83" s="407">
        <f t="shared" si="2"/>
        <v>0</v>
      </c>
      <c r="N83" s="407">
        <f t="shared" si="3"/>
        <v>0</v>
      </c>
      <c r="O83" s="407">
        <f t="shared" si="4"/>
        <v>-0.000000003027997017</v>
      </c>
      <c r="P83" s="368" t="str">
        <f>IF(AND(K83&gt;K82,K83-2+1='Pro Forma Detail'!D$66),E80,)</f>
        <v/>
      </c>
      <c r="Q83" s="369" t="str">
        <f t="shared" si="11"/>
        <v/>
      </c>
      <c r="R83" s="370">
        <f t="shared" si="12"/>
        <v>0</v>
      </c>
      <c r="S83" s="370">
        <f t="shared" si="13"/>
        <v>0</v>
      </c>
      <c r="T83" s="1"/>
    </row>
    <row r="84" ht="12.75" customHeight="1">
      <c r="A84" s="1">
        <v>73.0</v>
      </c>
      <c r="B84" s="408">
        <f t="shared" si="5"/>
        <v>0</v>
      </c>
      <c r="C84" s="408">
        <f t="shared" si="6"/>
        <v>0</v>
      </c>
      <c r="D84" s="409">
        <f t="shared" si="7"/>
        <v>0</v>
      </c>
      <c r="E84" s="176">
        <f t="shared" si="8"/>
        <v>-0.000000003020562192</v>
      </c>
      <c r="F84" s="408">
        <f t="shared" si="14"/>
        <v>16306617.46</v>
      </c>
      <c r="G84" s="408">
        <f t="shared" si="15"/>
        <v>30373143.87</v>
      </c>
      <c r="H84" s="410">
        <f t="shared" si="16"/>
        <v>0.0275</v>
      </c>
      <c r="I84" s="1">
        <f t="shared" si="1"/>
        <v>73</v>
      </c>
      <c r="J84" s="406">
        <f t="shared" si="17"/>
        <v>46388</v>
      </c>
      <c r="K84" s="105">
        <f t="shared" si="9"/>
        <v>7</v>
      </c>
      <c r="L84" s="411">
        <f t="shared" si="10"/>
        <v>0</v>
      </c>
      <c r="M84" s="407">
        <f t="shared" si="2"/>
        <v>0</v>
      </c>
      <c r="N84" s="407">
        <f t="shared" si="3"/>
        <v>0</v>
      </c>
      <c r="O84" s="407">
        <f t="shared" si="4"/>
        <v>-0.000000003020562192</v>
      </c>
      <c r="P84" s="368" t="str">
        <f>IF(AND(K84&gt;K83,K84-2+1='Pro Forma Detail'!D$66),E81,)</f>
        <v/>
      </c>
      <c r="Q84" s="369" t="str">
        <f t="shared" si="11"/>
        <v/>
      </c>
      <c r="R84" s="370">
        <f t="shared" si="12"/>
        <v>0</v>
      </c>
      <c r="S84" s="370">
        <f t="shared" si="13"/>
        <v>0</v>
      </c>
      <c r="T84" s="1"/>
    </row>
    <row r="85" ht="12.75" customHeight="1">
      <c r="A85" s="1">
        <v>74.0</v>
      </c>
      <c r="B85" s="408">
        <f t="shared" si="5"/>
        <v>0</v>
      </c>
      <c r="C85" s="408">
        <f t="shared" si="6"/>
        <v>0</v>
      </c>
      <c r="D85" s="409">
        <f t="shared" si="7"/>
        <v>0</v>
      </c>
      <c r="E85" s="176">
        <f t="shared" si="8"/>
        <v>-0.000000003013110329</v>
      </c>
      <c r="F85" s="408">
        <f t="shared" si="14"/>
        <v>16306617.46</v>
      </c>
      <c r="G85" s="408">
        <f t="shared" si="15"/>
        <v>30373143.87</v>
      </c>
      <c r="H85" s="410">
        <f t="shared" si="16"/>
        <v>0.0275</v>
      </c>
      <c r="I85" s="1">
        <f t="shared" si="1"/>
        <v>74</v>
      </c>
      <c r="J85" s="406">
        <f t="shared" si="17"/>
        <v>46419</v>
      </c>
      <c r="K85" s="105">
        <f t="shared" si="9"/>
        <v>7</v>
      </c>
      <c r="L85" s="411">
        <f t="shared" si="10"/>
        <v>0</v>
      </c>
      <c r="M85" s="407">
        <f t="shared" si="2"/>
        <v>0</v>
      </c>
      <c r="N85" s="407">
        <f t="shared" si="3"/>
        <v>0</v>
      </c>
      <c r="O85" s="407">
        <f t="shared" si="4"/>
        <v>-0.000000003013110329</v>
      </c>
      <c r="P85" s="368" t="str">
        <f>IF(AND(K85&gt;K84,K85-2+1='Pro Forma Detail'!D$66),E82,)</f>
        <v/>
      </c>
      <c r="Q85" s="369" t="str">
        <f t="shared" si="11"/>
        <v/>
      </c>
      <c r="R85" s="370">
        <f t="shared" si="12"/>
        <v>0</v>
      </c>
      <c r="S85" s="370">
        <f t="shared" si="13"/>
        <v>0</v>
      </c>
      <c r="T85" s="1"/>
    </row>
    <row r="86" ht="12.75" customHeight="1">
      <c r="A86" s="1">
        <v>75.0</v>
      </c>
      <c r="B86" s="408">
        <f t="shared" si="5"/>
        <v>0</v>
      </c>
      <c r="C86" s="408">
        <f t="shared" si="6"/>
        <v>0</v>
      </c>
      <c r="D86" s="409">
        <f t="shared" si="7"/>
        <v>0</v>
      </c>
      <c r="E86" s="176">
        <f t="shared" si="8"/>
        <v>-0.000000003005641388</v>
      </c>
      <c r="F86" s="408">
        <f t="shared" si="14"/>
        <v>16306617.46</v>
      </c>
      <c r="G86" s="408">
        <f t="shared" si="15"/>
        <v>30373143.87</v>
      </c>
      <c r="H86" s="410">
        <f t="shared" si="16"/>
        <v>0.0275</v>
      </c>
      <c r="I86" s="1">
        <f t="shared" si="1"/>
        <v>75</v>
      </c>
      <c r="J86" s="406">
        <f t="shared" si="17"/>
        <v>46447</v>
      </c>
      <c r="K86" s="105">
        <f t="shared" si="9"/>
        <v>7</v>
      </c>
      <c r="L86" s="411">
        <f t="shared" si="10"/>
        <v>0</v>
      </c>
      <c r="M86" s="407">
        <f t="shared" si="2"/>
        <v>0</v>
      </c>
      <c r="N86" s="407">
        <f t="shared" si="3"/>
        <v>0</v>
      </c>
      <c r="O86" s="407">
        <f t="shared" si="4"/>
        <v>-0.000000003005641388</v>
      </c>
      <c r="P86" s="368" t="str">
        <f>IF(AND(K86&gt;K85,K86-2+1='Pro Forma Detail'!D$66),E83,)</f>
        <v/>
      </c>
      <c r="Q86" s="369" t="str">
        <f t="shared" si="11"/>
        <v/>
      </c>
      <c r="R86" s="370">
        <f t="shared" si="12"/>
        <v>0</v>
      </c>
      <c r="S86" s="370">
        <f t="shared" si="13"/>
        <v>0</v>
      </c>
      <c r="T86" s="1"/>
    </row>
    <row r="87" ht="12.75" customHeight="1">
      <c r="A87" s="1">
        <v>76.0</v>
      </c>
      <c r="B87" s="408">
        <f t="shared" si="5"/>
        <v>0</v>
      </c>
      <c r="C87" s="408">
        <f t="shared" si="6"/>
        <v>0</v>
      </c>
      <c r="D87" s="409">
        <f t="shared" si="7"/>
        <v>0</v>
      </c>
      <c r="E87" s="176">
        <f t="shared" si="8"/>
        <v>-0.000000002998155331</v>
      </c>
      <c r="F87" s="408">
        <f t="shared" si="14"/>
        <v>16306617.46</v>
      </c>
      <c r="G87" s="408">
        <f t="shared" si="15"/>
        <v>30373143.87</v>
      </c>
      <c r="H87" s="410">
        <f t="shared" si="16"/>
        <v>0.0275</v>
      </c>
      <c r="I87" s="1">
        <f t="shared" si="1"/>
        <v>76</v>
      </c>
      <c r="J87" s="406">
        <f t="shared" si="17"/>
        <v>46478</v>
      </c>
      <c r="K87" s="105">
        <f t="shared" si="9"/>
        <v>7</v>
      </c>
      <c r="L87" s="411">
        <f t="shared" si="10"/>
        <v>0</v>
      </c>
      <c r="M87" s="407">
        <f t="shared" si="2"/>
        <v>0</v>
      </c>
      <c r="N87" s="407">
        <f t="shared" si="3"/>
        <v>0</v>
      </c>
      <c r="O87" s="407">
        <f t="shared" si="4"/>
        <v>-0.000000002998155331</v>
      </c>
      <c r="P87" s="368" t="str">
        <f>IF(AND(K87&gt;K86,K87-2+1='Pro Forma Detail'!D$66),E84,)</f>
        <v/>
      </c>
      <c r="Q87" s="369" t="str">
        <f t="shared" si="11"/>
        <v/>
      </c>
      <c r="R87" s="370">
        <f t="shared" si="12"/>
        <v>0</v>
      </c>
      <c r="S87" s="370">
        <f t="shared" si="13"/>
        <v>0</v>
      </c>
      <c r="T87" s="1"/>
    </row>
    <row r="88" ht="12.75" customHeight="1">
      <c r="A88" s="1">
        <v>77.0</v>
      </c>
      <c r="B88" s="408">
        <f t="shared" si="5"/>
        <v>0</v>
      </c>
      <c r="C88" s="408">
        <f t="shared" si="6"/>
        <v>0</v>
      </c>
      <c r="D88" s="409">
        <f t="shared" si="7"/>
        <v>0</v>
      </c>
      <c r="E88" s="176">
        <f t="shared" si="8"/>
        <v>-0.000000002990652119</v>
      </c>
      <c r="F88" s="408">
        <f t="shared" si="14"/>
        <v>16306617.46</v>
      </c>
      <c r="G88" s="408">
        <f t="shared" si="15"/>
        <v>30373143.87</v>
      </c>
      <c r="H88" s="410">
        <f t="shared" si="16"/>
        <v>0.0275</v>
      </c>
      <c r="I88" s="1">
        <f t="shared" si="1"/>
        <v>77</v>
      </c>
      <c r="J88" s="406">
        <f t="shared" si="17"/>
        <v>46508</v>
      </c>
      <c r="K88" s="105">
        <f t="shared" si="9"/>
        <v>7</v>
      </c>
      <c r="L88" s="411">
        <f t="shared" si="10"/>
        <v>0</v>
      </c>
      <c r="M88" s="407">
        <f t="shared" si="2"/>
        <v>0</v>
      </c>
      <c r="N88" s="407">
        <f t="shared" si="3"/>
        <v>0</v>
      </c>
      <c r="O88" s="407">
        <f t="shared" si="4"/>
        <v>-0.000000002990652119</v>
      </c>
      <c r="P88" s="368" t="str">
        <f>IF(AND(K88&gt;K87,K88-2+1='Pro Forma Detail'!D$66),E85,)</f>
        <v/>
      </c>
      <c r="Q88" s="369" t="str">
        <f t="shared" si="11"/>
        <v/>
      </c>
      <c r="R88" s="370">
        <f t="shared" si="12"/>
        <v>0</v>
      </c>
      <c r="S88" s="370">
        <f t="shared" si="13"/>
        <v>0</v>
      </c>
      <c r="T88" s="1"/>
    </row>
    <row r="89" ht="12.75" customHeight="1">
      <c r="A89" s="1">
        <v>78.0</v>
      </c>
      <c r="B89" s="408">
        <f t="shared" si="5"/>
        <v>0</v>
      </c>
      <c r="C89" s="408">
        <f t="shared" si="6"/>
        <v>0</v>
      </c>
      <c r="D89" s="409">
        <f t="shared" si="7"/>
        <v>0</v>
      </c>
      <c r="E89" s="176">
        <f t="shared" si="8"/>
        <v>-0.000000002983131711</v>
      </c>
      <c r="F89" s="408">
        <f t="shared" si="14"/>
        <v>16306617.46</v>
      </c>
      <c r="G89" s="408">
        <f t="shared" si="15"/>
        <v>30373143.87</v>
      </c>
      <c r="H89" s="410">
        <f t="shared" si="16"/>
        <v>0.0275</v>
      </c>
      <c r="I89" s="1">
        <f t="shared" si="1"/>
        <v>78</v>
      </c>
      <c r="J89" s="406">
        <f t="shared" si="17"/>
        <v>46539</v>
      </c>
      <c r="K89" s="105">
        <f t="shared" si="9"/>
        <v>7</v>
      </c>
      <c r="L89" s="411">
        <f t="shared" si="10"/>
        <v>0</v>
      </c>
      <c r="M89" s="407">
        <f t="shared" si="2"/>
        <v>0</v>
      </c>
      <c r="N89" s="407">
        <f t="shared" si="3"/>
        <v>0</v>
      </c>
      <c r="O89" s="407">
        <f t="shared" si="4"/>
        <v>-0.000000002983131711</v>
      </c>
      <c r="P89" s="368" t="str">
        <f>IF(AND(K89&gt;K88,K89-2+1='Pro Forma Detail'!D$66),E86,)</f>
        <v/>
      </c>
      <c r="Q89" s="369" t="str">
        <f t="shared" si="11"/>
        <v/>
      </c>
      <c r="R89" s="370">
        <f t="shared" si="12"/>
        <v>0</v>
      </c>
      <c r="S89" s="370">
        <f t="shared" si="13"/>
        <v>0</v>
      </c>
      <c r="T89" s="1"/>
    </row>
    <row r="90" ht="12.75" customHeight="1">
      <c r="A90" s="1">
        <v>79.0</v>
      </c>
      <c r="B90" s="408">
        <f t="shared" si="5"/>
        <v>0</v>
      </c>
      <c r="C90" s="408">
        <f t="shared" si="6"/>
        <v>0</v>
      </c>
      <c r="D90" s="409">
        <f t="shared" si="7"/>
        <v>0</v>
      </c>
      <c r="E90" s="176">
        <f t="shared" si="8"/>
        <v>-0.00000000297559407</v>
      </c>
      <c r="F90" s="408">
        <f t="shared" si="14"/>
        <v>16306617.46</v>
      </c>
      <c r="G90" s="408">
        <f t="shared" si="15"/>
        <v>30373143.87</v>
      </c>
      <c r="H90" s="410">
        <f t="shared" si="16"/>
        <v>0.0275</v>
      </c>
      <c r="I90" s="1">
        <f t="shared" si="1"/>
        <v>79</v>
      </c>
      <c r="J90" s="406">
        <f t="shared" si="17"/>
        <v>46569</v>
      </c>
      <c r="K90" s="105">
        <f t="shared" si="9"/>
        <v>7</v>
      </c>
      <c r="L90" s="411">
        <f t="shared" si="10"/>
        <v>0</v>
      </c>
      <c r="M90" s="407">
        <f t="shared" si="2"/>
        <v>0</v>
      </c>
      <c r="N90" s="407">
        <f t="shared" si="3"/>
        <v>0</v>
      </c>
      <c r="O90" s="407">
        <f t="shared" si="4"/>
        <v>-0.00000000297559407</v>
      </c>
      <c r="P90" s="368" t="str">
        <f>IF(AND(K90&gt;K89,K90-2+1='Pro Forma Detail'!D$66),E87,)</f>
        <v/>
      </c>
      <c r="Q90" s="369" t="str">
        <f t="shared" si="11"/>
        <v/>
      </c>
      <c r="R90" s="370">
        <f t="shared" si="12"/>
        <v>0</v>
      </c>
      <c r="S90" s="370">
        <f t="shared" si="13"/>
        <v>0</v>
      </c>
      <c r="T90" s="1"/>
    </row>
    <row r="91" ht="12.75" customHeight="1">
      <c r="A91" s="1">
        <v>80.0</v>
      </c>
      <c r="B91" s="408">
        <f t="shared" si="5"/>
        <v>0</v>
      </c>
      <c r="C91" s="408">
        <f t="shared" si="6"/>
        <v>0</v>
      </c>
      <c r="D91" s="409">
        <f t="shared" si="7"/>
        <v>0</v>
      </c>
      <c r="E91" s="176">
        <f t="shared" si="8"/>
        <v>-0.000000002968039154</v>
      </c>
      <c r="F91" s="408">
        <f t="shared" si="14"/>
        <v>16306617.46</v>
      </c>
      <c r="G91" s="408">
        <f t="shared" si="15"/>
        <v>30373143.87</v>
      </c>
      <c r="H91" s="410">
        <f t="shared" si="16"/>
        <v>0.0275</v>
      </c>
      <c r="I91" s="1">
        <f t="shared" si="1"/>
        <v>80</v>
      </c>
      <c r="J91" s="406">
        <f t="shared" si="17"/>
        <v>46600</v>
      </c>
      <c r="K91" s="105">
        <f t="shared" si="9"/>
        <v>7</v>
      </c>
      <c r="L91" s="411">
        <f t="shared" si="10"/>
        <v>0</v>
      </c>
      <c r="M91" s="407">
        <f t="shared" si="2"/>
        <v>0</v>
      </c>
      <c r="N91" s="407">
        <f t="shared" si="3"/>
        <v>0</v>
      </c>
      <c r="O91" s="407">
        <f t="shared" si="4"/>
        <v>-0.000000002968039154</v>
      </c>
      <c r="P91" s="368" t="str">
        <f>IF(AND(K91&gt;K90,K91-2+1='Pro Forma Detail'!D$66),E88,)</f>
        <v/>
      </c>
      <c r="Q91" s="369" t="str">
        <f t="shared" si="11"/>
        <v/>
      </c>
      <c r="R91" s="370">
        <f t="shared" si="12"/>
        <v>0</v>
      </c>
      <c r="S91" s="370">
        <f t="shared" si="13"/>
        <v>0</v>
      </c>
      <c r="T91" s="1"/>
    </row>
    <row r="92" ht="12.75" customHeight="1">
      <c r="A92" s="1">
        <v>81.0</v>
      </c>
      <c r="B92" s="408">
        <f t="shared" si="5"/>
        <v>0</v>
      </c>
      <c r="C92" s="408">
        <f t="shared" si="6"/>
        <v>0</v>
      </c>
      <c r="D92" s="409">
        <f t="shared" si="7"/>
        <v>0</v>
      </c>
      <c r="E92" s="176">
        <f t="shared" si="8"/>
        <v>-0.000000002960466926</v>
      </c>
      <c r="F92" s="408">
        <f t="shared" si="14"/>
        <v>16306617.46</v>
      </c>
      <c r="G92" s="408">
        <f t="shared" si="15"/>
        <v>30373143.87</v>
      </c>
      <c r="H92" s="410">
        <f t="shared" si="16"/>
        <v>0.0275</v>
      </c>
      <c r="I92" s="1">
        <f t="shared" si="1"/>
        <v>81</v>
      </c>
      <c r="J92" s="406">
        <f t="shared" si="17"/>
        <v>46631</v>
      </c>
      <c r="K92" s="105">
        <f t="shared" si="9"/>
        <v>7</v>
      </c>
      <c r="L92" s="411">
        <f t="shared" si="10"/>
        <v>0</v>
      </c>
      <c r="M92" s="407">
        <f t="shared" si="2"/>
        <v>0</v>
      </c>
      <c r="N92" s="407">
        <f t="shared" si="3"/>
        <v>0</v>
      </c>
      <c r="O92" s="407">
        <f t="shared" si="4"/>
        <v>-0.000000002960466926</v>
      </c>
      <c r="P92" s="368" t="str">
        <f>IF(AND(K92&gt;K91,K92-2+1='Pro Forma Detail'!D$66),E89,)</f>
        <v/>
      </c>
      <c r="Q92" s="369" t="str">
        <f t="shared" si="11"/>
        <v/>
      </c>
      <c r="R92" s="370">
        <f t="shared" si="12"/>
        <v>0</v>
      </c>
      <c r="S92" s="370">
        <f t="shared" si="13"/>
        <v>0</v>
      </c>
      <c r="T92" s="1"/>
    </row>
    <row r="93" ht="12.75" customHeight="1">
      <c r="A93" s="1">
        <v>82.0</v>
      </c>
      <c r="B93" s="408">
        <f t="shared" si="5"/>
        <v>0</v>
      </c>
      <c r="C93" s="408">
        <f t="shared" si="6"/>
        <v>0</v>
      </c>
      <c r="D93" s="409">
        <f t="shared" si="7"/>
        <v>0</v>
      </c>
      <c r="E93" s="176">
        <f t="shared" si="8"/>
        <v>-0.000000002952877344</v>
      </c>
      <c r="F93" s="408">
        <f t="shared" si="14"/>
        <v>16306617.46</v>
      </c>
      <c r="G93" s="408">
        <f t="shared" si="15"/>
        <v>30373143.87</v>
      </c>
      <c r="H93" s="410">
        <f t="shared" si="16"/>
        <v>0.0275</v>
      </c>
      <c r="I93" s="1">
        <f t="shared" si="1"/>
        <v>82</v>
      </c>
      <c r="J93" s="406">
        <f t="shared" si="17"/>
        <v>46661</v>
      </c>
      <c r="K93" s="105">
        <f t="shared" si="9"/>
        <v>7</v>
      </c>
      <c r="L93" s="411">
        <f t="shared" si="10"/>
        <v>0</v>
      </c>
      <c r="M93" s="407">
        <f t="shared" si="2"/>
        <v>0</v>
      </c>
      <c r="N93" s="407">
        <f t="shared" si="3"/>
        <v>0</v>
      </c>
      <c r="O93" s="407">
        <f t="shared" si="4"/>
        <v>-0.000000002952877344</v>
      </c>
      <c r="P93" s="368" t="str">
        <f>IF(AND(K93&gt;K92,K93-2+1='Pro Forma Detail'!D$66),E90,)</f>
        <v/>
      </c>
      <c r="Q93" s="369" t="str">
        <f t="shared" si="11"/>
        <v/>
      </c>
      <c r="R93" s="370">
        <f t="shared" si="12"/>
        <v>0</v>
      </c>
      <c r="S93" s="370">
        <f t="shared" si="13"/>
        <v>0</v>
      </c>
      <c r="T93" s="1"/>
    </row>
    <row r="94" ht="12.75" customHeight="1">
      <c r="A94" s="1">
        <v>83.0</v>
      </c>
      <c r="B94" s="408">
        <f t="shared" si="5"/>
        <v>0</v>
      </c>
      <c r="C94" s="408">
        <f t="shared" si="6"/>
        <v>0</v>
      </c>
      <c r="D94" s="409">
        <f t="shared" si="7"/>
        <v>0</v>
      </c>
      <c r="E94" s="176">
        <f t="shared" si="8"/>
        <v>-0.000000002945270369</v>
      </c>
      <c r="F94" s="408">
        <f t="shared" si="14"/>
        <v>16306617.46</v>
      </c>
      <c r="G94" s="408">
        <f t="shared" si="15"/>
        <v>30373143.87</v>
      </c>
      <c r="H94" s="410">
        <f t="shared" si="16"/>
        <v>0.0275</v>
      </c>
      <c r="I94" s="1">
        <f t="shared" si="1"/>
        <v>83</v>
      </c>
      <c r="J94" s="406">
        <f t="shared" si="17"/>
        <v>46692</v>
      </c>
      <c r="K94" s="105">
        <f t="shared" si="9"/>
        <v>7</v>
      </c>
      <c r="L94" s="411">
        <f t="shared" si="10"/>
        <v>0</v>
      </c>
      <c r="M94" s="407">
        <f t="shared" si="2"/>
        <v>0</v>
      </c>
      <c r="N94" s="407">
        <f t="shared" si="3"/>
        <v>0</v>
      </c>
      <c r="O94" s="407">
        <f t="shared" si="4"/>
        <v>-0.000000002945270369</v>
      </c>
      <c r="P94" s="368" t="str">
        <f>IF(AND(K94&gt;K93,K94-2+1='Pro Forma Detail'!D$66),E91,)</f>
        <v/>
      </c>
      <c r="Q94" s="369" t="str">
        <f t="shared" si="11"/>
        <v/>
      </c>
      <c r="R94" s="370">
        <f t="shared" si="12"/>
        <v>0</v>
      </c>
      <c r="S94" s="370">
        <f t="shared" si="13"/>
        <v>0</v>
      </c>
      <c r="T94" s="1"/>
    </row>
    <row r="95" ht="12.75" customHeight="1">
      <c r="A95" s="1">
        <v>84.0</v>
      </c>
      <c r="B95" s="408">
        <f t="shared" si="5"/>
        <v>0</v>
      </c>
      <c r="C95" s="408">
        <f t="shared" si="6"/>
        <v>0</v>
      </c>
      <c r="D95" s="409">
        <f t="shared" si="7"/>
        <v>0</v>
      </c>
      <c r="E95" s="176">
        <f t="shared" si="8"/>
        <v>-0.000000002937645962</v>
      </c>
      <c r="F95" s="408">
        <f t="shared" si="14"/>
        <v>16306617.46</v>
      </c>
      <c r="G95" s="408">
        <f t="shared" si="15"/>
        <v>30373143.87</v>
      </c>
      <c r="H95" s="410">
        <f t="shared" si="16"/>
        <v>0.0275</v>
      </c>
      <c r="I95" s="1">
        <f t="shared" si="1"/>
        <v>84</v>
      </c>
      <c r="J95" s="406">
        <f t="shared" si="17"/>
        <v>46722</v>
      </c>
      <c r="K95" s="105">
        <f t="shared" si="9"/>
        <v>7</v>
      </c>
      <c r="L95" s="411">
        <f t="shared" si="10"/>
        <v>0</v>
      </c>
      <c r="M95" s="407">
        <f t="shared" si="2"/>
        <v>0</v>
      </c>
      <c r="N95" s="407">
        <f t="shared" si="3"/>
        <v>0</v>
      </c>
      <c r="O95" s="407">
        <f t="shared" si="4"/>
        <v>-0.000000002937645962</v>
      </c>
      <c r="P95" s="368" t="str">
        <f>IF(AND(K95&gt;K94,K95-2+1='Pro Forma Detail'!D$66),E92,)</f>
        <v/>
      </c>
      <c r="Q95" s="369" t="str">
        <f t="shared" si="11"/>
        <v/>
      </c>
      <c r="R95" s="370">
        <f t="shared" si="12"/>
        <v>0</v>
      </c>
      <c r="S95" s="370">
        <f t="shared" si="13"/>
        <v>0</v>
      </c>
      <c r="T95" s="1"/>
    </row>
    <row r="96" ht="12.75" customHeight="1">
      <c r="A96" s="1">
        <v>85.0</v>
      </c>
      <c r="B96" s="408">
        <f t="shared" si="5"/>
        <v>0</v>
      </c>
      <c r="C96" s="408">
        <f t="shared" si="6"/>
        <v>0</v>
      </c>
      <c r="D96" s="409">
        <f t="shared" si="7"/>
        <v>0</v>
      </c>
      <c r="E96" s="176">
        <f t="shared" si="8"/>
        <v>-0.000000002930004082</v>
      </c>
      <c r="F96" s="408">
        <f t="shared" si="14"/>
        <v>16306617.46</v>
      </c>
      <c r="G96" s="408">
        <f t="shared" si="15"/>
        <v>30373143.87</v>
      </c>
      <c r="H96" s="410">
        <f t="shared" si="16"/>
        <v>0.0275</v>
      </c>
      <c r="I96" s="1">
        <f t="shared" si="1"/>
        <v>85</v>
      </c>
      <c r="J96" s="406">
        <f t="shared" si="17"/>
        <v>46753</v>
      </c>
      <c r="K96" s="105">
        <f t="shared" si="9"/>
        <v>8</v>
      </c>
      <c r="L96" s="411">
        <f t="shared" si="10"/>
        <v>0</v>
      </c>
      <c r="M96" s="407">
        <f t="shared" si="2"/>
        <v>0</v>
      </c>
      <c r="N96" s="407">
        <f t="shared" si="3"/>
        <v>0</v>
      </c>
      <c r="O96" s="407">
        <f t="shared" si="4"/>
        <v>-0.000000002930004082</v>
      </c>
      <c r="P96" s="368" t="str">
        <f>IF(AND(K96&gt;K95,K96-2+1='Pro Forma Detail'!D$66),E93,)</f>
        <v/>
      </c>
      <c r="Q96" s="369" t="str">
        <f t="shared" si="11"/>
        <v/>
      </c>
      <c r="R96" s="370">
        <f t="shared" si="12"/>
        <v>0</v>
      </c>
      <c r="S96" s="370">
        <f t="shared" si="13"/>
        <v>0</v>
      </c>
      <c r="T96" s="1"/>
    </row>
    <row r="97" ht="12.75" customHeight="1">
      <c r="A97" s="1">
        <v>86.0</v>
      </c>
      <c r="B97" s="408">
        <f t="shared" si="5"/>
        <v>0</v>
      </c>
      <c r="C97" s="408">
        <f t="shared" si="6"/>
        <v>0</v>
      </c>
      <c r="D97" s="409">
        <f t="shared" si="7"/>
        <v>0</v>
      </c>
      <c r="E97" s="176">
        <f t="shared" si="8"/>
        <v>-0.00000000292234469</v>
      </c>
      <c r="F97" s="408">
        <f t="shared" si="14"/>
        <v>16306617.46</v>
      </c>
      <c r="G97" s="408">
        <f t="shared" si="15"/>
        <v>30373143.87</v>
      </c>
      <c r="H97" s="410">
        <f t="shared" si="16"/>
        <v>0.0275</v>
      </c>
      <c r="I97" s="1">
        <f t="shared" si="1"/>
        <v>86</v>
      </c>
      <c r="J97" s="406">
        <f t="shared" si="17"/>
        <v>46784</v>
      </c>
      <c r="K97" s="105">
        <f t="shared" si="9"/>
        <v>8</v>
      </c>
      <c r="L97" s="411">
        <f t="shared" si="10"/>
        <v>0</v>
      </c>
      <c r="M97" s="407">
        <f t="shared" si="2"/>
        <v>0</v>
      </c>
      <c r="N97" s="407">
        <f t="shared" si="3"/>
        <v>0</v>
      </c>
      <c r="O97" s="407">
        <f t="shared" si="4"/>
        <v>-0.00000000292234469</v>
      </c>
      <c r="P97" s="368" t="str">
        <f>IF(AND(K97&gt;K96,K97-2+1='Pro Forma Detail'!D$66),E94,)</f>
        <v/>
      </c>
      <c r="Q97" s="369" t="str">
        <f t="shared" si="11"/>
        <v/>
      </c>
      <c r="R97" s="370">
        <f t="shared" si="12"/>
        <v>0</v>
      </c>
      <c r="S97" s="370">
        <f t="shared" si="13"/>
        <v>0</v>
      </c>
      <c r="T97" s="1"/>
    </row>
    <row r="98" ht="12.75" customHeight="1">
      <c r="A98" s="1">
        <v>87.0</v>
      </c>
      <c r="B98" s="408">
        <f t="shared" si="5"/>
        <v>0</v>
      </c>
      <c r="C98" s="408">
        <f t="shared" si="6"/>
        <v>0</v>
      </c>
      <c r="D98" s="409">
        <f t="shared" si="7"/>
        <v>0</v>
      </c>
      <c r="E98" s="176">
        <f t="shared" si="8"/>
        <v>-0.000000002914667745</v>
      </c>
      <c r="F98" s="408">
        <f t="shared" si="14"/>
        <v>16306617.46</v>
      </c>
      <c r="G98" s="408">
        <f t="shared" si="15"/>
        <v>30373143.87</v>
      </c>
      <c r="H98" s="410">
        <f t="shared" si="16"/>
        <v>0.0275</v>
      </c>
      <c r="I98" s="1">
        <f t="shared" si="1"/>
        <v>87</v>
      </c>
      <c r="J98" s="406">
        <f t="shared" si="17"/>
        <v>46813</v>
      </c>
      <c r="K98" s="105">
        <f t="shared" si="9"/>
        <v>8</v>
      </c>
      <c r="L98" s="411">
        <f t="shared" si="10"/>
        <v>0</v>
      </c>
      <c r="M98" s="407">
        <f t="shared" si="2"/>
        <v>0</v>
      </c>
      <c r="N98" s="407">
        <f t="shared" si="3"/>
        <v>0</v>
      </c>
      <c r="O98" s="407">
        <f t="shared" si="4"/>
        <v>-0.000000002914667745</v>
      </c>
      <c r="P98" s="368" t="str">
        <f>IF(AND(K98&gt;K97,K98-2+1='Pro Forma Detail'!D$66),E95,)</f>
        <v/>
      </c>
      <c r="Q98" s="369" t="str">
        <f t="shared" si="11"/>
        <v/>
      </c>
      <c r="R98" s="370">
        <f t="shared" si="12"/>
        <v>0</v>
      </c>
      <c r="S98" s="370">
        <f t="shared" si="13"/>
        <v>0</v>
      </c>
      <c r="T98" s="1"/>
    </row>
    <row r="99" ht="12.75" customHeight="1">
      <c r="A99" s="1">
        <v>88.0</v>
      </c>
      <c r="B99" s="408">
        <f t="shared" si="5"/>
        <v>0</v>
      </c>
      <c r="C99" s="408">
        <f t="shared" si="6"/>
        <v>0</v>
      </c>
      <c r="D99" s="409">
        <f t="shared" si="7"/>
        <v>0</v>
      </c>
      <c r="E99" s="176">
        <f t="shared" si="8"/>
        <v>-0.000000002906973207</v>
      </c>
      <c r="F99" s="408">
        <f t="shared" si="14"/>
        <v>16306617.46</v>
      </c>
      <c r="G99" s="408">
        <f t="shared" si="15"/>
        <v>30373143.87</v>
      </c>
      <c r="H99" s="410">
        <f t="shared" si="16"/>
        <v>0.0275</v>
      </c>
      <c r="I99" s="1">
        <f t="shared" si="1"/>
        <v>88</v>
      </c>
      <c r="J99" s="406">
        <f t="shared" si="17"/>
        <v>46844</v>
      </c>
      <c r="K99" s="105">
        <f t="shared" si="9"/>
        <v>8</v>
      </c>
      <c r="L99" s="411">
        <f t="shared" si="10"/>
        <v>0</v>
      </c>
      <c r="M99" s="407">
        <f t="shared" si="2"/>
        <v>0</v>
      </c>
      <c r="N99" s="407">
        <f t="shared" si="3"/>
        <v>0</v>
      </c>
      <c r="O99" s="407">
        <f t="shared" si="4"/>
        <v>-0.000000002906973207</v>
      </c>
      <c r="P99" s="368" t="str">
        <f>IF(AND(K99&gt;K98,K99-2+1='Pro Forma Detail'!D$66),E96,)</f>
        <v/>
      </c>
      <c r="Q99" s="369" t="str">
        <f t="shared" si="11"/>
        <v/>
      </c>
      <c r="R99" s="370">
        <f t="shared" si="12"/>
        <v>0</v>
      </c>
      <c r="S99" s="370">
        <f t="shared" si="13"/>
        <v>0</v>
      </c>
      <c r="T99" s="1"/>
    </row>
    <row r="100" ht="12.75" customHeight="1">
      <c r="A100" s="1">
        <v>89.0</v>
      </c>
      <c r="B100" s="408">
        <f t="shared" si="5"/>
        <v>0</v>
      </c>
      <c r="C100" s="408">
        <f t="shared" si="6"/>
        <v>0</v>
      </c>
      <c r="D100" s="409">
        <f t="shared" si="7"/>
        <v>0</v>
      </c>
      <c r="E100" s="176">
        <f t="shared" si="8"/>
        <v>-0.000000002899261035</v>
      </c>
      <c r="F100" s="408">
        <f t="shared" si="14"/>
        <v>16306617.46</v>
      </c>
      <c r="G100" s="408">
        <f t="shared" si="15"/>
        <v>30373143.87</v>
      </c>
      <c r="H100" s="410">
        <f t="shared" si="16"/>
        <v>0.0275</v>
      </c>
      <c r="I100" s="1">
        <f t="shared" si="1"/>
        <v>89</v>
      </c>
      <c r="J100" s="406">
        <f t="shared" si="17"/>
        <v>46874</v>
      </c>
      <c r="K100" s="105">
        <f t="shared" si="9"/>
        <v>8</v>
      </c>
      <c r="L100" s="411">
        <f t="shared" si="10"/>
        <v>0</v>
      </c>
      <c r="M100" s="407">
        <f t="shared" si="2"/>
        <v>0</v>
      </c>
      <c r="N100" s="407">
        <f t="shared" si="3"/>
        <v>0</v>
      </c>
      <c r="O100" s="407">
        <f t="shared" si="4"/>
        <v>-0.000000002899261035</v>
      </c>
      <c r="P100" s="368" t="str">
        <f>IF(AND(K100&gt;K99,K100-2+1='Pro Forma Detail'!D$66),E97,)</f>
        <v/>
      </c>
      <c r="Q100" s="369" t="str">
        <f t="shared" si="11"/>
        <v/>
      </c>
      <c r="R100" s="370">
        <f t="shared" si="12"/>
        <v>0</v>
      </c>
      <c r="S100" s="370">
        <f t="shared" si="13"/>
        <v>0</v>
      </c>
      <c r="T100" s="1"/>
    </row>
    <row r="101" ht="12.75" customHeight="1">
      <c r="A101" s="1">
        <v>90.0</v>
      </c>
      <c r="B101" s="408">
        <f t="shared" si="5"/>
        <v>0</v>
      </c>
      <c r="C101" s="408">
        <f t="shared" si="6"/>
        <v>0</v>
      </c>
      <c r="D101" s="409">
        <f t="shared" si="7"/>
        <v>0</v>
      </c>
      <c r="E101" s="176">
        <f t="shared" si="8"/>
        <v>-0.00000000289153119</v>
      </c>
      <c r="F101" s="408">
        <f t="shared" si="14"/>
        <v>16306617.46</v>
      </c>
      <c r="G101" s="408">
        <f t="shared" si="15"/>
        <v>30373143.87</v>
      </c>
      <c r="H101" s="410">
        <f t="shared" si="16"/>
        <v>0.0275</v>
      </c>
      <c r="I101" s="1">
        <f t="shared" si="1"/>
        <v>90</v>
      </c>
      <c r="J101" s="406">
        <f t="shared" si="17"/>
        <v>46905</v>
      </c>
      <c r="K101" s="105">
        <f t="shared" si="9"/>
        <v>8</v>
      </c>
      <c r="L101" s="411">
        <f t="shared" si="10"/>
        <v>0</v>
      </c>
      <c r="M101" s="407">
        <f t="shared" si="2"/>
        <v>0</v>
      </c>
      <c r="N101" s="407">
        <f t="shared" si="3"/>
        <v>0</v>
      </c>
      <c r="O101" s="407">
        <f t="shared" si="4"/>
        <v>-0.00000000289153119</v>
      </c>
      <c r="P101" s="368" t="str">
        <f>IF(AND(K101&gt;K100,K101-2+1='Pro Forma Detail'!D$66),E98,)</f>
        <v/>
      </c>
      <c r="Q101" s="369" t="str">
        <f t="shared" si="11"/>
        <v/>
      </c>
      <c r="R101" s="370">
        <f t="shared" si="12"/>
        <v>0</v>
      </c>
      <c r="S101" s="370">
        <f t="shared" si="13"/>
        <v>0</v>
      </c>
      <c r="T101" s="1"/>
    </row>
    <row r="102" ht="12.75" customHeight="1">
      <c r="A102" s="1">
        <v>91.0</v>
      </c>
      <c r="B102" s="408">
        <f t="shared" si="5"/>
        <v>0</v>
      </c>
      <c r="C102" s="408">
        <f t="shared" si="6"/>
        <v>0</v>
      </c>
      <c r="D102" s="409">
        <f t="shared" si="7"/>
        <v>0</v>
      </c>
      <c r="E102" s="176">
        <f t="shared" si="8"/>
        <v>-0.00000000288378363</v>
      </c>
      <c r="F102" s="408">
        <f t="shared" si="14"/>
        <v>16306617.46</v>
      </c>
      <c r="G102" s="408">
        <f t="shared" si="15"/>
        <v>30373143.87</v>
      </c>
      <c r="H102" s="410">
        <f t="shared" si="16"/>
        <v>0.0275</v>
      </c>
      <c r="I102" s="1">
        <f t="shared" si="1"/>
        <v>91</v>
      </c>
      <c r="J102" s="406">
        <f t="shared" si="17"/>
        <v>46935</v>
      </c>
      <c r="K102" s="105">
        <f t="shared" si="9"/>
        <v>8</v>
      </c>
      <c r="L102" s="411">
        <f t="shared" si="10"/>
        <v>0</v>
      </c>
      <c r="M102" s="407">
        <f t="shared" si="2"/>
        <v>0</v>
      </c>
      <c r="N102" s="407">
        <f t="shared" si="3"/>
        <v>0</v>
      </c>
      <c r="O102" s="407">
        <f t="shared" si="4"/>
        <v>-0.00000000288378363</v>
      </c>
      <c r="P102" s="368" t="str">
        <f>IF(AND(K102&gt;K101,K102-2+1='Pro Forma Detail'!D$66),E99,)</f>
        <v/>
      </c>
      <c r="Q102" s="369" t="str">
        <f t="shared" si="11"/>
        <v/>
      </c>
      <c r="R102" s="370">
        <f t="shared" si="12"/>
        <v>0</v>
      </c>
      <c r="S102" s="370">
        <f t="shared" si="13"/>
        <v>0</v>
      </c>
      <c r="T102" s="1"/>
    </row>
    <row r="103" ht="12.75" customHeight="1">
      <c r="A103" s="1">
        <v>92.0</v>
      </c>
      <c r="B103" s="408">
        <f t="shared" si="5"/>
        <v>0</v>
      </c>
      <c r="C103" s="408">
        <f t="shared" si="6"/>
        <v>0</v>
      </c>
      <c r="D103" s="409">
        <f t="shared" si="7"/>
        <v>0</v>
      </c>
      <c r="E103" s="176">
        <f t="shared" si="8"/>
        <v>-0.000000002876018316</v>
      </c>
      <c r="F103" s="408">
        <f t="shared" si="14"/>
        <v>16306617.46</v>
      </c>
      <c r="G103" s="408">
        <f t="shared" si="15"/>
        <v>30373143.87</v>
      </c>
      <c r="H103" s="410">
        <f t="shared" si="16"/>
        <v>0.0275</v>
      </c>
      <c r="I103" s="1">
        <f t="shared" si="1"/>
        <v>92</v>
      </c>
      <c r="J103" s="406">
        <f t="shared" si="17"/>
        <v>46966</v>
      </c>
      <c r="K103" s="105">
        <f t="shared" si="9"/>
        <v>8</v>
      </c>
      <c r="L103" s="411">
        <f t="shared" si="10"/>
        <v>0</v>
      </c>
      <c r="M103" s="407">
        <f t="shared" si="2"/>
        <v>0</v>
      </c>
      <c r="N103" s="407">
        <f t="shared" si="3"/>
        <v>0</v>
      </c>
      <c r="O103" s="407">
        <f t="shared" si="4"/>
        <v>-0.000000002876018316</v>
      </c>
      <c r="P103" s="368" t="str">
        <f>IF(AND(K103&gt;K102,K103-2+1='Pro Forma Detail'!D$66),E100,)</f>
        <v/>
      </c>
      <c r="Q103" s="369" t="str">
        <f t="shared" si="11"/>
        <v/>
      </c>
      <c r="R103" s="370">
        <f t="shared" si="12"/>
        <v>0</v>
      </c>
      <c r="S103" s="370">
        <f t="shared" si="13"/>
        <v>0</v>
      </c>
      <c r="T103" s="1"/>
    </row>
    <row r="104" ht="12.75" customHeight="1">
      <c r="A104" s="1">
        <v>93.0</v>
      </c>
      <c r="B104" s="408">
        <f t="shared" si="5"/>
        <v>0</v>
      </c>
      <c r="C104" s="408">
        <f t="shared" si="6"/>
        <v>0</v>
      </c>
      <c r="D104" s="409">
        <f t="shared" si="7"/>
        <v>0</v>
      </c>
      <c r="E104" s="176">
        <f t="shared" si="8"/>
        <v>-0.000000002868235206</v>
      </c>
      <c r="F104" s="408">
        <f t="shared" si="14"/>
        <v>16306617.46</v>
      </c>
      <c r="G104" s="408">
        <f t="shared" si="15"/>
        <v>30373143.87</v>
      </c>
      <c r="H104" s="410">
        <f t="shared" si="16"/>
        <v>0.0275</v>
      </c>
      <c r="I104" s="1">
        <f t="shared" si="1"/>
        <v>93</v>
      </c>
      <c r="J104" s="406">
        <f t="shared" si="17"/>
        <v>46997</v>
      </c>
      <c r="K104" s="105">
        <f t="shared" si="9"/>
        <v>8</v>
      </c>
      <c r="L104" s="411">
        <f t="shared" si="10"/>
        <v>0</v>
      </c>
      <c r="M104" s="407">
        <f t="shared" si="2"/>
        <v>0</v>
      </c>
      <c r="N104" s="407">
        <f t="shared" si="3"/>
        <v>0</v>
      </c>
      <c r="O104" s="407">
        <f t="shared" si="4"/>
        <v>-0.000000002868235206</v>
      </c>
      <c r="P104" s="368" t="str">
        <f>IF(AND(K104&gt;K103,K104-2+1='Pro Forma Detail'!D$66),E101,)</f>
        <v/>
      </c>
      <c r="Q104" s="369" t="str">
        <f t="shared" si="11"/>
        <v/>
      </c>
      <c r="R104" s="370">
        <f t="shared" si="12"/>
        <v>0</v>
      </c>
      <c r="S104" s="370">
        <f t="shared" si="13"/>
        <v>0</v>
      </c>
      <c r="T104" s="1"/>
    </row>
    <row r="105" ht="12.75" customHeight="1">
      <c r="A105" s="1">
        <v>94.0</v>
      </c>
      <c r="B105" s="408">
        <f t="shared" si="5"/>
        <v>0</v>
      </c>
      <c r="C105" s="408">
        <f t="shared" si="6"/>
        <v>0</v>
      </c>
      <c r="D105" s="409">
        <f t="shared" si="7"/>
        <v>0</v>
      </c>
      <c r="E105" s="176">
        <f t="shared" si="8"/>
        <v>-0.00000000286043426</v>
      </c>
      <c r="F105" s="408">
        <f t="shared" si="14"/>
        <v>16306617.46</v>
      </c>
      <c r="G105" s="408">
        <f t="shared" si="15"/>
        <v>30373143.87</v>
      </c>
      <c r="H105" s="410">
        <f t="shared" si="16"/>
        <v>0.0275</v>
      </c>
      <c r="I105" s="1">
        <f t="shared" si="1"/>
        <v>94</v>
      </c>
      <c r="J105" s="406">
        <f t="shared" si="17"/>
        <v>47027</v>
      </c>
      <c r="K105" s="105">
        <f t="shared" si="9"/>
        <v>8</v>
      </c>
      <c r="L105" s="411">
        <f t="shared" si="10"/>
        <v>0</v>
      </c>
      <c r="M105" s="407">
        <f t="shared" si="2"/>
        <v>0</v>
      </c>
      <c r="N105" s="407">
        <f t="shared" si="3"/>
        <v>0</v>
      </c>
      <c r="O105" s="407">
        <f t="shared" si="4"/>
        <v>-0.00000000286043426</v>
      </c>
      <c r="P105" s="368" t="str">
        <f>IF(AND(K105&gt;K104,K105-2+1='Pro Forma Detail'!D$66),E102,)</f>
        <v/>
      </c>
      <c r="Q105" s="369" t="str">
        <f t="shared" si="11"/>
        <v/>
      </c>
      <c r="R105" s="370">
        <f t="shared" si="12"/>
        <v>0</v>
      </c>
      <c r="S105" s="370">
        <f t="shared" si="13"/>
        <v>0</v>
      </c>
      <c r="T105" s="1"/>
    </row>
    <row r="106" ht="12.75" customHeight="1">
      <c r="A106" s="1">
        <v>95.0</v>
      </c>
      <c r="B106" s="408">
        <f t="shared" si="5"/>
        <v>0</v>
      </c>
      <c r="C106" s="408">
        <f t="shared" si="6"/>
        <v>0</v>
      </c>
      <c r="D106" s="409">
        <f t="shared" si="7"/>
        <v>0</v>
      </c>
      <c r="E106" s="176">
        <f t="shared" si="8"/>
        <v>-0.000000002852615437</v>
      </c>
      <c r="F106" s="408">
        <f t="shared" si="14"/>
        <v>16306617.46</v>
      </c>
      <c r="G106" s="408">
        <f t="shared" si="15"/>
        <v>30373143.87</v>
      </c>
      <c r="H106" s="410">
        <f t="shared" si="16"/>
        <v>0.0275</v>
      </c>
      <c r="I106" s="1">
        <f t="shared" si="1"/>
        <v>95</v>
      </c>
      <c r="J106" s="406">
        <f t="shared" si="17"/>
        <v>47058</v>
      </c>
      <c r="K106" s="105">
        <f t="shared" si="9"/>
        <v>8</v>
      </c>
      <c r="L106" s="411">
        <f t="shared" si="10"/>
        <v>0</v>
      </c>
      <c r="M106" s="407">
        <f t="shared" si="2"/>
        <v>0</v>
      </c>
      <c r="N106" s="407">
        <f t="shared" si="3"/>
        <v>0</v>
      </c>
      <c r="O106" s="407">
        <f t="shared" si="4"/>
        <v>-0.000000002852615437</v>
      </c>
      <c r="P106" s="368" t="str">
        <f>IF(AND(K106&gt;K105,K106-2+1='Pro Forma Detail'!D$66),E103,)</f>
        <v/>
      </c>
      <c r="Q106" s="369" t="str">
        <f t="shared" si="11"/>
        <v/>
      </c>
      <c r="R106" s="370">
        <f t="shared" si="12"/>
        <v>0</v>
      </c>
      <c r="S106" s="370">
        <f t="shared" si="13"/>
        <v>0</v>
      </c>
      <c r="T106" s="1"/>
    </row>
    <row r="107" ht="12.75" customHeight="1">
      <c r="A107" s="1">
        <v>96.0</v>
      </c>
      <c r="B107" s="408">
        <f t="shared" si="5"/>
        <v>0</v>
      </c>
      <c r="C107" s="408">
        <f t="shared" si="6"/>
        <v>0</v>
      </c>
      <c r="D107" s="409">
        <f t="shared" si="7"/>
        <v>0</v>
      </c>
      <c r="E107" s="176">
        <f t="shared" si="8"/>
        <v>-0.000000002844778696</v>
      </c>
      <c r="F107" s="408">
        <f t="shared" si="14"/>
        <v>16306617.46</v>
      </c>
      <c r="G107" s="408">
        <f t="shared" si="15"/>
        <v>30373143.87</v>
      </c>
      <c r="H107" s="410">
        <f t="shared" si="16"/>
        <v>0.0275</v>
      </c>
      <c r="I107" s="1">
        <f t="shared" si="1"/>
        <v>96</v>
      </c>
      <c r="J107" s="406">
        <f t="shared" si="17"/>
        <v>47088</v>
      </c>
      <c r="K107" s="105">
        <f t="shared" si="9"/>
        <v>8</v>
      </c>
      <c r="L107" s="411">
        <f t="shared" si="10"/>
        <v>0</v>
      </c>
      <c r="M107" s="407">
        <f t="shared" si="2"/>
        <v>0</v>
      </c>
      <c r="N107" s="407">
        <f t="shared" si="3"/>
        <v>0</v>
      </c>
      <c r="O107" s="407">
        <f t="shared" si="4"/>
        <v>-0.000000002844778696</v>
      </c>
      <c r="P107" s="368" t="str">
        <f>IF(AND(K107&gt;K106,K107-2+1='Pro Forma Detail'!D$66),E104,)</f>
        <v/>
      </c>
      <c r="Q107" s="369" t="str">
        <f t="shared" si="11"/>
        <v/>
      </c>
      <c r="R107" s="370">
        <f t="shared" si="12"/>
        <v>0</v>
      </c>
      <c r="S107" s="370">
        <f t="shared" si="13"/>
        <v>0</v>
      </c>
      <c r="T107" s="1"/>
    </row>
    <row r="108" ht="12.75" customHeight="1">
      <c r="A108" s="1">
        <v>97.0</v>
      </c>
      <c r="B108" s="408">
        <f t="shared" si="5"/>
        <v>0</v>
      </c>
      <c r="C108" s="408">
        <f t="shared" si="6"/>
        <v>0</v>
      </c>
      <c r="D108" s="409">
        <f t="shared" si="7"/>
        <v>0</v>
      </c>
      <c r="E108" s="176">
        <f t="shared" si="8"/>
        <v>-0.000000002836923995</v>
      </c>
      <c r="F108" s="408">
        <f t="shared" si="14"/>
        <v>16306617.46</v>
      </c>
      <c r="G108" s="408">
        <f t="shared" si="15"/>
        <v>30373143.87</v>
      </c>
      <c r="H108" s="410">
        <f t="shared" si="16"/>
        <v>0.0275</v>
      </c>
      <c r="I108" s="1">
        <f t="shared" si="1"/>
        <v>97</v>
      </c>
      <c r="J108" s="406">
        <f t="shared" si="17"/>
        <v>47119</v>
      </c>
      <c r="K108" s="105">
        <f t="shared" si="9"/>
        <v>9</v>
      </c>
      <c r="L108" s="411">
        <f t="shared" si="10"/>
        <v>0</v>
      </c>
      <c r="M108" s="407">
        <f t="shared" si="2"/>
        <v>0</v>
      </c>
      <c r="N108" s="407">
        <f t="shared" si="3"/>
        <v>0</v>
      </c>
      <c r="O108" s="407">
        <f t="shared" si="4"/>
        <v>-0.000000002836923995</v>
      </c>
      <c r="P108" s="368" t="str">
        <f>IF(AND(K108&gt;K107,K108-2+1='Pro Forma Detail'!D$66),E105,)</f>
        <v/>
      </c>
      <c r="Q108" s="369" t="str">
        <f t="shared" si="11"/>
        <v/>
      </c>
      <c r="R108" s="370">
        <f t="shared" si="12"/>
        <v>0</v>
      </c>
      <c r="S108" s="370">
        <f t="shared" si="13"/>
        <v>0</v>
      </c>
      <c r="T108" s="1"/>
    </row>
    <row r="109" ht="12.75" customHeight="1">
      <c r="A109" s="1">
        <v>98.0</v>
      </c>
      <c r="B109" s="408">
        <f t="shared" si="5"/>
        <v>0</v>
      </c>
      <c r="C109" s="408">
        <f t="shared" si="6"/>
        <v>0</v>
      </c>
      <c r="D109" s="409">
        <f t="shared" si="7"/>
        <v>0</v>
      </c>
      <c r="E109" s="176">
        <f t="shared" si="8"/>
        <v>-0.000000002829051294</v>
      </c>
      <c r="F109" s="408">
        <f t="shared" si="14"/>
        <v>16306617.46</v>
      </c>
      <c r="G109" s="408">
        <f t="shared" si="15"/>
        <v>30373143.87</v>
      </c>
      <c r="H109" s="410">
        <f t="shared" si="16"/>
        <v>0.0275</v>
      </c>
      <c r="I109" s="1">
        <f t="shared" si="1"/>
        <v>98</v>
      </c>
      <c r="J109" s="406">
        <f t="shared" si="17"/>
        <v>47150</v>
      </c>
      <c r="K109" s="105">
        <f t="shared" si="9"/>
        <v>9</v>
      </c>
      <c r="L109" s="411">
        <f t="shared" si="10"/>
        <v>0</v>
      </c>
      <c r="M109" s="407">
        <f t="shared" si="2"/>
        <v>0</v>
      </c>
      <c r="N109" s="407">
        <f t="shared" si="3"/>
        <v>0</v>
      </c>
      <c r="O109" s="407">
        <f t="shared" si="4"/>
        <v>-0.000000002829051294</v>
      </c>
      <c r="P109" s="368" t="str">
        <f>IF(AND(K109&gt;K108,K109-2+1='Pro Forma Detail'!D$66),E106,)</f>
        <v/>
      </c>
      <c r="Q109" s="369" t="str">
        <f t="shared" si="11"/>
        <v/>
      </c>
      <c r="R109" s="370">
        <f t="shared" si="12"/>
        <v>0</v>
      </c>
      <c r="S109" s="370">
        <f t="shared" si="13"/>
        <v>0</v>
      </c>
      <c r="T109" s="1"/>
    </row>
    <row r="110" ht="12.75" customHeight="1">
      <c r="A110" s="1">
        <v>99.0</v>
      </c>
      <c r="B110" s="408">
        <f t="shared" si="5"/>
        <v>0</v>
      </c>
      <c r="C110" s="408">
        <f t="shared" si="6"/>
        <v>0</v>
      </c>
      <c r="D110" s="409">
        <f t="shared" si="7"/>
        <v>0</v>
      </c>
      <c r="E110" s="176">
        <f t="shared" si="8"/>
        <v>-0.000000002821160551</v>
      </c>
      <c r="F110" s="408">
        <f t="shared" si="14"/>
        <v>16306617.46</v>
      </c>
      <c r="G110" s="408">
        <f t="shared" si="15"/>
        <v>30373143.87</v>
      </c>
      <c r="H110" s="410">
        <f t="shared" si="16"/>
        <v>0.0275</v>
      </c>
      <c r="I110" s="1">
        <f t="shared" si="1"/>
        <v>99</v>
      </c>
      <c r="J110" s="406">
        <f t="shared" si="17"/>
        <v>47178</v>
      </c>
      <c r="K110" s="105">
        <f t="shared" si="9"/>
        <v>9</v>
      </c>
      <c r="L110" s="411">
        <f t="shared" si="10"/>
        <v>0</v>
      </c>
      <c r="M110" s="407">
        <f t="shared" si="2"/>
        <v>0</v>
      </c>
      <c r="N110" s="407">
        <f t="shared" si="3"/>
        <v>0</v>
      </c>
      <c r="O110" s="407">
        <f t="shared" si="4"/>
        <v>-0.000000002821160551</v>
      </c>
      <c r="P110" s="368" t="str">
        <f>IF(AND(K110&gt;K109,K110-2+1='Pro Forma Detail'!D$66),E107,)</f>
        <v/>
      </c>
      <c r="Q110" s="369" t="str">
        <f t="shared" si="11"/>
        <v/>
      </c>
      <c r="R110" s="370">
        <f t="shared" si="12"/>
        <v>0</v>
      </c>
      <c r="S110" s="370">
        <f t="shared" si="13"/>
        <v>0</v>
      </c>
      <c r="T110" s="1"/>
    </row>
    <row r="111" ht="12.75" customHeight="1">
      <c r="A111" s="1">
        <v>100.0</v>
      </c>
      <c r="B111" s="408">
        <f t="shared" si="5"/>
        <v>0</v>
      </c>
      <c r="C111" s="408">
        <f t="shared" si="6"/>
        <v>0</v>
      </c>
      <c r="D111" s="409">
        <f t="shared" si="7"/>
        <v>0</v>
      </c>
      <c r="E111" s="176">
        <f t="shared" si="8"/>
        <v>-0.000000002813251726</v>
      </c>
      <c r="F111" s="408">
        <f t="shared" si="14"/>
        <v>16306617.46</v>
      </c>
      <c r="G111" s="408">
        <f t="shared" si="15"/>
        <v>30373143.87</v>
      </c>
      <c r="H111" s="410">
        <f t="shared" si="16"/>
        <v>0.0275</v>
      </c>
      <c r="I111" s="1">
        <f t="shared" si="1"/>
        <v>100</v>
      </c>
      <c r="J111" s="406">
        <f t="shared" si="17"/>
        <v>47209</v>
      </c>
      <c r="K111" s="105">
        <f t="shared" si="9"/>
        <v>9</v>
      </c>
      <c r="L111" s="411">
        <f t="shared" si="10"/>
        <v>0</v>
      </c>
      <c r="M111" s="407">
        <f t="shared" si="2"/>
        <v>0</v>
      </c>
      <c r="N111" s="407">
        <f t="shared" si="3"/>
        <v>0</v>
      </c>
      <c r="O111" s="407">
        <f t="shared" si="4"/>
        <v>-0.000000002813251726</v>
      </c>
      <c r="P111" s="368" t="str">
        <f>IF(AND(K111&gt;K110,K111-2+1='Pro Forma Detail'!D$66),E108,)</f>
        <v/>
      </c>
      <c r="Q111" s="369" t="str">
        <f t="shared" si="11"/>
        <v/>
      </c>
      <c r="R111" s="370">
        <f t="shared" si="12"/>
        <v>0</v>
      </c>
      <c r="S111" s="370">
        <f t="shared" si="13"/>
        <v>0</v>
      </c>
      <c r="T111" s="1"/>
    </row>
    <row r="112" ht="12.75" customHeight="1">
      <c r="A112" s="1">
        <v>101.0</v>
      </c>
      <c r="B112" s="408">
        <f t="shared" si="5"/>
        <v>0</v>
      </c>
      <c r="C112" s="408">
        <f t="shared" si="6"/>
        <v>0</v>
      </c>
      <c r="D112" s="409">
        <f t="shared" si="7"/>
        <v>0</v>
      </c>
      <c r="E112" s="176">
        <f t="shared" si="8"/>
        <v>-0.000000002805324776</v>
      </c>
      <c r="F112" s="408">
        <f t="shared" si="14"/>
        <v>16306617.46</v>
      </c>
      <c r="G112" s="408">
        <f t="shared" si="15"/>
        <v>30373143.87</v>
      </c>
      <c r="H112" s="410">
        <f t="shared" si="16"/>
        <v>0.0275</v>
      </c>
      <c r="I112" s="1">
        <f t="shared" si="1"/>
        <v>101</v>
      </c>
      <c r="J112" s="406">
        <f t="shared" si="17"/>
        <v>47239</v>
      </c>
      <c r="K112" s="105">
        <f t="shared" si="9"/>
        <v>9</v>
      </c>
      <c r="L112" s="411">
        <f t="shared" si="10"/>
        <v>0</v>
      </c>
      <c r="M112" s="407">
        <f t="shared" si="2"/>
        <v>0</v>
      </c>
      <c r="N112" s="407">
        <f t="shared" si="3"/>
        <v>0</v>
      </c>
      <c r="O112" s="407">
        <f t="shared" si="4"/>
        <v>-0.000000002805324776</v>
      </c>
      <c r="P112" s="368" t="str">
        <f>IF(AND(K112&gt;K111,K112-2+1='Pro Forma Detail'!D$66),E109,)</f>
        <v/>
      </c>
      <c r="Q112" s="369" t="str">
        <f t="shared" si="11"/>
        <v/>
      </c>
      <c r="R112" s="370">
        <f t="shared" si="12"/>
        <v>0</v>
      </c>
      <c r="S112" s="370">
        <f t="shared" si="13"/>
        <v>0</v>
      </c>
      <c r="T112" s="1"/>
    </row>
    <row r="113" ht="12.75" customHeight="1">
      <c r="A113" s="1">
        <v>102.0</v>
      </c>
      <c r="B113" s="408">
        <f t="shared" si="5"/>
        <v>0</v>
      </c>
      <c r="C113" s="408">
        <f t="shared" si="6"/>
        <v>0</v>
      </c>
      <c r="D113" s="409">
        <f t="shared" si="7"/>
        <v>0</v>
      </c>
      <c r="E113" s="176">
        <f t="shared" si="8"/>
        <v>-0.00000000279737966</v>
      </c>
      <c r="F113" s="408">
        <f t="shared" si="14"/>
        <v>16306617.46</v>
      </c>
      <c r="G113" s="408">
        <f t="shared" si="15"/>
        <v>30373143.87</v>
      </c>
      <c r="H113" s="410">
        <f t="shared" si="16"/>
        <v>0.0275</v>
      </c>
      <c r="I113" s="1">
        <f t="shared" si="1"/>
        <v>102</v>
      </c>
      <c r="J113" s="406">
        <f t="shared" si="17"/>
        <v>47270</v>
      </c>
      <c r="K113" s="105">
        <f t="shared" si="9"/>
        <v>9</v>
      </c>
      <c r="L113" s="411">
        <f t="shared" si="10"/>
        <v>0</v>
      </c>
      <c r="M113" s="407">
        <f t="shared" si="2"/>
        <v>0</v>
      </c>
      <c r="N113" s="407">
        <f t="shared" si="3"/>
        <v>0</v>
      </c>
      <c r="O113" s="407">
        <f t="shared" si="4"/>
        <v>-0.00000000279737966</v>
      </c>
      <c r="P113" s="368" t="str">
        <f>IF(AND(K113&gt;K112,K113-2+1='Pro Forma Detail'!D$66),E110,)</f>
        <v/>
      </c>
      <c r="Q113" s="369" t="str">
        <f t="shared" si="11"/>
        <v/>
      </c>
      <c r="R113" s="370">
        <f t="shared" si="12"/>
        <v>0</v>
      </c>
      <c r="S113" s="370">
        <f t="shared" si="13"/>
        <v>0</v>
      </c>
      <c r="T113" s="1"/>
    </row>
    <row r="114" ht="12.75" customHeight="1">
      <c r="A114" s="1">
        <v>103.0</v>
      </c>
      <c r="B114" s="408">
        <f t="shared" si="5"/>
        <v>0</v>
      </c>
      <c r="C114" s="408">
        <f t="shared" si="6"/>
        <v>0</v>
      </c>
      <c r="D114" s="409">
        <f t="shared" si="7"/>
        <v>0</v>
      </c>
      <c r="E114" s="176">
        <f t="shared" si="8"/>
        <v>-0.000000002789416337</v>
      </c>
      <c r="F114" s="408">
        <f t="shared" si="14"/>
        <v>16306617.46</v>
      </c>
      <c r="G114" s="408">
        <f t="shared" si="15"/>
        <v>30373143.87</v>
      </c>
      <c r="H114" s="410">
        <f t="shared" si="16"/>
        <v>0.0275</v>
      </c>
      <c r="I114" s="1">
        <f t="shared" si="1"/>
        <v>103</v>
      </c>
      <c r="J114" s="406">
        <f t="shared" si="17"/>
        <v>47300</v>
      </c>
      <c r="K114" s="105">
        <f t="shared" si="9"/>
        <v>9</v>
      </c>
      <c r="L114" s="411">
        <f t="shared" si="10"/>
        <v>0</v>
      </c>
      <c r="M114" s="407">
        <f t="shared" si="2"/>
        <v>0</v>
      </c>
      <c r="N114" s="407">
        <f t="shared" si="3"/>
        <v>0</v>
      </c>
      <c r="O114" s="407">
        <f t="shared" si="4"/>
        <v>-0.000000002789416337</v>
      </c>
      <c r="P114" s="368" t="str">
        <f>IF(AND(K114&gt;K113,K114-2+1='Pro Forma Detail'!D$66),E111,)</f>
        <v/>
      </c>
      <c r="Q114" s="369" t="str">
        <f t="shared" si="11"/>
        <v/>
      </c>
      <c r="R114" s="370">
        <f t="shared" si="12"/>
        <v>0</v>
      </c>
      <c r="S114" s="370">
        <f t="shared" si="13"/>
        <v>0</v>
      </c>
      <c r="T114" s="1"/>
    </row>
    <row r="115" ht="12.75" customHeight="1">
      <c r="A115" s="1">
        <v>104.0</v>
      </c>
      <c r="B115" s="408">
        <f t="shared" si="5"/>
        <v>0</v>
      </c>
      <c r="C115" s="408">
        <f t="shared" si="6"/>
        <v>0</v>
      </c>
      <c r="D115" s="409">
        <f t="shared" si="7"/>
        <v>0</v>
      </c>
      <c r="E115" s="176">
        <f t="shared" si="8"/>
        <v>-0.000000002781434764</v>
      </c>
      <c r="F115" s="408">
        <f t="shared" si="14"/>
        <v>16306617.46</v>
      </c>
      <c r="G115" s="408">
        <f t="shared" si="15"/>
        <v>30373143.87</v>
      </c>
      <c r="H115" s="410">
        <f t="shared" si="16"/>
        <v>0.0275</v>
      </c>
      <c r="I115" s="1">
        <f t="shared" si="1"/>
        <v>104</v>
      </c>
      <c r="J115" s="406">
        <f t="shared" si="17"/>
        <v>47331</v>
      </c>
      <c r="K115" s="105">
        <f t="shared" si="9"/>
        <v>9</v>
      </c>
      <c r="L115" s="411">
        <f t="shared" si="10"/>
        <v>0</v>
      </c>
      <c r="M115" s="407">
        <f t="shared" si="2"/>
        <v>0</v>
      </c>
      <c r="N115" s="407">
        <f t="shared" si="3"/>
        <v>0</v>
      </c>
      <c r="O115" s="407">
        <f t="shared" si="4"/>
        <v>-0.000000002781434764</v>
      </c>
      <c r="P115" s="368" t="str">
        <f>IF(AND(K115&gt;K114,K115-2+1='Pro Forma Detail'!D$66),E112,)</f>
        <v/>
      </c>
      <c r="Q115" s="369" t="str">
        <f t="shared" si="11"/>
        <v/>
      </c>
      <c r="R115" s="370">
        <f t="shared" si="12"/>
        <v>0</v>
      </c>
      <c r="S115" s="370">
        <f t="shared" si="13"/>
        <v>0</v>
      </c>
      <c r="T115" s="1"/>
    </row>
    <row r="116" ht="12.75" customHeight="1">
      <c r="A116" s="1">
        <v>105.0</v>
      </c>
      <c r="B116" s="408">
        <f t="shared" si="5"/>
        <v>0</v>
      </c>
      <c r="C116" s="408">
        <f t="shared" si="6"/>
        <v>0</v>
      </c>
      <c r="D116" s="409">
        <f t="shared" si="7"/>
        <v>0</v>
      </c>
      <c r="E116" s="176">
        <f t="shared" si="8"/>
        <v>-0.0000000027734349</v>
      </c>
      <c r="F116" s="408">
        <f t="shared" si="14"/>
        <v>16306617.46</v>
      </c>
      <c r="G116" s="408">
        <f t="shared" si="15"/>
        <v>30373143.87</v>
      </c>
      <c r="H116" s="410">
        <f t="shared" si="16"/>
        <v>0.0275</v>
      </c>
      <c r="I116" s="1">
        <f t="shared" si="1"/>
        <v>105</v>
      </c>
      <c r="J116" s="406">
        <f t="shared" si="17"/>
        <v>47362</v>
      </c>
      <c r="K116" s="105">
        <f t="shared" si="9"/>
        <v>9</v>
      </c>
      <c r="L116" s="411">
        <f t="shared" si="10"/>
        <v>0</v>
      </c>
      <c r="M116" s="407">
        <f t="shared" si="2"/>
        <v>0</v>
      </c>
      <c r="N116" s="407">
        <f t="shared" si="3"/>
        <v>0</v>
      </c>
      <c r="O116" s="407">
        <f t="shared" si="4"/>
        <v>-0.0000000027734349</v>
      </c>
      <c r="P116" s="368" t="str">
        <f>IF(AND(K116&gt;K115,K116-2+1='Pro Forma Detail'!D$66),E113,)</f>
        <v/>
      </c>
      <c r="Q116" s="369" t="str">
        <f t="shared" si="11"/>
        <v/>
      </c>
      <c r="R116" s="370">
        <f t="shared" si="12"/>
        <v>0</v>
      </c>
      <c r="S116" s="370">
        <f t="shared" si="13"/>
        <v>0</v>
      </c>
      <c r="T116" s="1"/>
    </row>
    <row r="117" ht="12.75" customHeight="1">
      <c r="A117" s="1">
        <v>106.0</v>
      </c>
      <c r="B117" s="408">
        <f t="shared" si="5"/>
        <v>0</v>
      </c>
      <c r="C117" s="408">
        <f t="shared" si="6"/>
        <v>0</v>
      </c>
      <c r="D117" s="409">
        <f t="shared" si="7"/>
        <v>0</v>
      </c>
      <c r="E117" s="176">
        <f t="shared" si="8"/>
        <v>-0.000000002765416704</v>
      </c>
      <c r="F117" s="408">
        <f t="shared" si="14"/>
        <v>16306617.46</v>
      </c>
      <c r="G117" s="408">
        <f t="shared" si="15"/>
        <v>30373143.87</v>
      </c>
      <c r="H117" s="410">
        <f t="shared" si="16"/>
        <v>0.0275</v>
      </c>
      <c r="I117" s="1">
        <f t="shared" si="1"/>
        <v>106</v>
      </c>
      <c r="J117" s="406">
        <f t="shared" si="17"/>
        <v>47392</v>
      </c>
      <c r="K117" s="105">
        <f t="shared" si="9"/>
        <v>9</v>
      </c>
      <c r="L117" s="411">
        <f t="shared" si="10"/>
        <v>0</v>
      </c>
      <c r="M117" s="407">
        <f t="shared" si="2"/>
        <v>0</v>
      </c>
      <c r="N117" s="407">
        <f t="shared" si="3"/>
        <v>0</v>
      </c>
      <c r="O117" s="407">
        <f t="shared" si="4"/>
        <v>-0.000000002765416704</v>
      </c>
      <c r="P117" s="368" t="str">
        <f>IF(AND(K117&gt;K116,K117-2+1='Pro Forma Detail'!D$66),E114,)</f>
        <v/>
      </c>
      <c r="Q117" s="369" t="str">
        <f t="shared" si="11"/>
        <v/>
      </c>
      <c r="R117" s="370">
        <f t="shared" si="12"/>
        <v>0</v>
      </c>
      <c r="S117" s="370">
        <f t="shared" si="13"/>
        <v>0</v>
      </c>
      <c r="T117" s="1"/>
    </row>
    <row r="118" ht="12.75" customHeight="1">
      <c r="A118" s="1">
        <v>107.0</v>
      </c>
      <c r="B118" s="408">
        <f t="shared" si="5"/>
        <v>0</v>
      </c>
      <c r="C118" s="408">
        <f t="shared" si="6"/>
        <v>0</v>
      </c>
      <c r="D118" s="409">
        <f t="shared" si="7"/>
        <v>0</v>
      </c>
      <c r="E118" s="176">
        <f t="shared" si="8"/>
        <v>-0.000000002757380132</v>
      </c>
      <c r="F118" s="408">
        <f t="shared" si="14"/>
        <v>16306617.46</v>
      </c>
      <c r="G118" s="408">
        <f t="shared" si="15"/>
        <v>30373143.87</v>
      </c>
      <c r="H118" s="410">
        <f t="shared" si="16"/>
        <v>0.0275</v>
      </c>
      <c r="I118" s="1">
        <f t="shared" si="1"/>
        <v>107</v>
      </c>
      <c r="J118" s="406">
        <f t="shared" si="17"/>
        <v>47423</v>
      </c>
      <c r="K118" s="105">
        <f t="shared" si="9"/>
        <v>9</v>
      </c>
      <c r="L118" s="411">
        <f t="shared" si="10"/>
        <v>0</v>
      </c>
      <c r="M118" s="407">
        <f t="shared" si="2"/>
        <v>0</v>
      </c>
      <c r="N118" s="407">
        <f t="shared" si="3"/>
        <v>0</v>
      </c>
      <c r="O118" s="407">
        <f t="shared" si="4"/>
        <v>-0.000000002757380132</v>
      </c>
      <c r="P118" s="368" t="str">
        <f>IF(AND(K118&gt;K117,K118-2+1='Pro Forma Detail'!D$66),E115,)</f>
        <v/>
      </c>
      <c r="Q118" s="369" t="str">
        <f t="shared" si="11"/>
        <v/>
      </c>
      <c r="R118" s="370">
        <f t="shared" si="12"/>
        <v>0</v>
      </c>
      <c r="S118" s="370">
        <f t="shared" si="13"/>
        <v>0</v>
      </c>
      <c r="T118" s="1"/>
    </row>
    <row r="119" ht="12.75" customHeight="1">
      <c r="A119" s="1">
        <v>108.0</v>
      </c>
      <c r="B119" s="408">
        <f t="shared" si="5"/>
        <v>0</v>
      </c>
      <c r="C119" s="408">
        <f t="shared" si="6"/>
        <v>0</v>
      </c>
      <c r="D119" s="409">
        <f t="shared" si="7"/>
        <v>0</v>
      </c>
      <c r="E119" s="176">
        <f t="shared" si="8"/>
        <v>-0.000000002749325143</v>
      </c>
      <c r="F119" s="408">
        <f t="shared" si="14"/>
        <v>16306617.46</v>
      </c>
      <c r="G119" s="408">
        <f t="shared" si="15"/>
        <v>30373143.87</v>
      </c>
      <c r="H119" s="410">
        <f t="shared" si="16"/>
        <v>0.0275</v>
      </c>
      <c r="I119" s="1">
        <f t="shared" si="1"/>
        <v>108</v>
      </c>
      <c r="J119" s="406">
        <f t="shared" si="17"/>
        <v>47453</v>
      </c>
      <c r="K119" s="105">
        <f t="shared" si="9"/>
        <v>9</v>
      </c>
      <c r="L119" s="411">
        <f t="shared" si="10"/>
        <v>0</v>
      </c>
      <c r="M119" s="407">
        <f t="shared" si="2"/>
        <v>0</v>
      </c>
      <c r="N119" s="407">
        <f t="shared" si="3"/>
        <v>0</v>
      </c>
      <c r="O119" s="407">
        <f t="shared" si="4"/>
        <v>-0.000000002749325143</v>
      </c>
      <c r="P119" s="368" t="str">
        <f>IF(AND(K119&gt;K118,K119-2+1='Pro Forma Detail'!D$66),E116,)</f>
        <v/>
      </c>
      <c r="Q119" s="369" t="str">
        <f t="shared" si="11"/>
        <v/>
      </c>
      <c r="R119" s="370">
        <f t="shared" si="12"/>
        <v>0</v>
      </c>
      <c r="S119" s="370">
        <f t="shared" si="13"/>
        <v>0</v>
      </c>
      <c r="T119" s="1"/>
    </row>
    <row r="120" ht="12.75" customHeight="1">
      <c r="A120" s="1">
        <v>109.0</v>
      </c>
      <c r="B120" s="408">
        <f t="shared" si="5"/>
        <v>0</v>
      </c>
      <c r="C120" s="408">
        <f t="shared" si="6"/>
        <v>0</v>
      </c>
      <c r="D120" s="409">
        <f t="shared" si="7"/>
        <v>0</v>
      </c>
      <c r="E120" s="176">
        <f t="shared" si="8"/>
        <v>-0.000000002741251694</v>
      </c>
      <c r="F120" s="408">
        <f t="shared" si="14"/>
        <v>16306617.46</v>
      </c>
      <c r="G120" s="408">
        <f t="shared" si="15"/>
        <v>30373143.87</v>
      </c>
      <c r="H120" s="410">
        <f t="shared" si="16"/>
        <v>0.0275</v>
      </c>
      <c r="I120" s="1">
        <f t="shared" si="1"/>
        <v>109</v>
      </c>
      <c r="J120" s="406">
        <f t="shared" si="17"/>
        <v>47484</v>
      </c>
      <c r="K120" s="105">
        <f t="shared" si="9"/>
        <v>10</v>
      </c>
      <c r="L120" s="411">
        <f t="shared" si="10"/>
        <v>0</v>
      </c>
      <c r="M120" s="407">
        <f t="shared" si="2"/>
        <v>0</v>
      </c>
      <c r="N120" s="407">
        <f t="shared" si="3"/>
        <v>0</v>
      </c>
      <c r="O120" s="407">
        <f t="shared" si="4"/>
        <v>-0.000000002741251694</v>
      </c>
      <c r="P120" s="368" t="str">
        <f>IF(AND(K120&gt;K119,K120-2+1='Pro Forma Detail'!D$66),E117,)</f>
        <v/>
      </c>
      <c r="Q120" s="369" t="str">
        <f t="shared" si="11"/>
        <v/>
      </c>
      <c r="R120" s="370">
        <f t="shared" si="12"/>
        <v>0</v>
      </c>
      <c r="S120" s="370">
        <f t="shared" si="13"/>
        <v>0</v>
      </c>
      <c r="T120" s="1"/>
    </row>
    <row r="121" ht="12.75" customHeight="1">
      <c r="A121" s="1">
        <v>110.0</v>
      </c>
      <c r="B121" s="408">
        <f t="shared" si="5"/>
        <v>0</v>
      </c>
      <c r="C121" s="408">
        <f t="shared" si="6"/>
        <v>0</v>
      </c>
      <c r="D121" s="409">
        <f t="shared" si="7"/>
        <v>0</v>
      </c>
      <c r="E121" s="176">
        <f t="shared" si="8"/>
        <v>-0.000000002733159745</v>
      </c>
      <c r="F121" s="408">
        <f t="shared" si="14"/>
        <v>16306617.46</v>
      </c>
      <c r="G121" s="408">
        <f t="shared" si="15"/>
        <v>30373143.87</v>
      </c>
      <c r="H121" s="410">
        <f t="shared" si="16"/>
        <v>0.0275</v>
      </c>
      <c r="I121" s="1">
        <f t="shared" si="1"/>
        <v>110</v>
      </c>
      <c r="J121" s="406">
        <f t="shared" si="17"/>
        <v>47515</v>
      </c>
      <c r="K121" s="105">
        <f t="shared" si="9"/>
        <v>10</v>
      </c>
      <c r="L121" s="411">
        <f t="shared" si="10"/>
        <v>0</v>
      </c>
      <c r="M121" s="407">
        <f t="shared" si="2"/>
        <v>0</v>
      </c>
      <c r="N121" s="407">
        <f t="shared" si="3"/>
        <v>0</v>
      </c>
      <c r="O121" s="407">
        <f t="shared" si="4"/>
        <v>-0.000000002733159745</v>
      </c>
      <c r="P121" s="368" t="str">
        <f>IF(AND(K121&gt;K120,K121-2+1='Pro Forma Detail'!D$66),E118,)</f>
        <v/>
      </c>
      <c r="Q121" s="369" t="str">
        <f t="shared" si="11"/>
        <v/>
      </c>
      <c r="R121" s="370">
        <f t="shared" si="12"/>
        <v>0</v>
      </c>
      <c r="S121" s="370">
        <f t="shared" si="13"/>
        <v>0</v>
      </c>
      <c r="T121" s="1"/>
    </row>
    <row r="122" ht="12.75" customHeight="1">
      <c r="A122" s="1">
        <v>111.0</v>
      </c>
      <c r="B122" s="408">
        <f t="shared" si="5"/>
        <v>0</v>
      </c>
      <c r="C122" s="408">
        <f t="shared" si="6"/>
        <v>0</v>
      </c>
      <c r="D122" s="409">
        <f t="shared" si="7"/>
        <v>0</v>
      </c>
      <c r="E122" s="176">
        <f t="shared" si="8"/>
        <v>-0.00000000272504925</v>
      </c>
      <c r="F122" s="408">
        <f t="shared" si="14"/>
        <v>16306617.46</v>
      </c>
      <c r="G122" s="408">
        <f t="shared" si="15"/>
        <v>30373143.87</v>
      </c>
      <c r="H122" s="410">
        <f t="shared" si="16"/>
        <v>0.0275</v>
      </c>
      <c r="I122" s="1">
        <f t="shared" si="1"/>
        <v>111</v>
      </c>
      <c r="J122" s="406">
        <f t="shared" si="17"/>
        <v>47543</v>
      </c>
      <c r="K122" s="105">
        <f t="shared" si="9"/>
        <v>10</v>
      </c>
      <c r="L122" s="411">
        <f t="shared" si="10"/>
        <v>0</v>
      </c>
      <c r="M122" s="407">
        <f t="shared" si="2"/>
        <v>0</v>
      </c>
      <c r="N122" s="407">
        <f t="shared" si="3"/>
        <v>0</v>
      </c>
      <c r="O122" s="407">
        <f t="shared" si="4"/>
        <v>-0.00000000272504925</v>
      </c>
      <c r="P122" s="368" t="str">
        <f>IF(AND(K122&gt;K121,K122-2+1='Pro Forma Detail'!D$66),E119,)</f>
        <v/>
      </c>
      <c r="Q122" s="369" t="str">
        <f t="shared" si="11"/>
        <v/>
      </c>
      <c r="R122" s="370">
        <f t="shared" si="12"/>
        <v>0</v>
      </c>
      <c r="S122" s="370">
        <f t="shared" si="13"/>
        <v>0</v>
      </c>
      <c r="T122" s="1"/>
    </row>
    <row r="123" ht="12.75" customHeight="1">
      <c r="A123" s="1">
        <v>112.0</v>
      </c>
      <c r="B123" s="408">
        <f t="shared" si="5"/>
        <v>0</v>
      </c>
      <c r="C123" s="408">
        <f t="shared" si="6"/>
        <v>0</v>
      </c>
      <c r="D123" s="409">
        <f t="shared" si="7"/>
        <v>0</v>
      </c>
      <c r="E123" s="176">
        <f t="shared" si="8"/>
        <v>-0.00000000271692017</v>
      </c>
      <c r="F123" s="408">
        <f t="shared" si="14"/>
        <v>16306617.46</v>
      </c>
      <c r="G123" s="408">
        <f t="shared" si="15"/>
        <v>30373143.87</v>
      </c>
      <c r="H123" s="410">
        <f t="shared" si="16"/>
        <v>0.0275</v>
      </c>
      <c r="I123" s="1">
        <f t="shared" si="1"/>
        <v>112</v>
      </c>
      <c r="J123" s="406">
        <f t="shared" si="17"/>
        <v>47574</v>
      </c>
      <c r="K123" s="105">
        <f t="shared" si="9"/>
        <v>10</v>
      </c>
      <c r="L123" s="411">
        <f t="shared" si="10"/>
        <v>0</v>
      </c>
      <c r="M123" s="407">
        <f t="shared" si="2"/>
        <v>0</v>
      </c>
      <c r="N123" s="407">
        <f t="shared" si="3"/>
        <v>0</v>
      </c>
      <c r="O123" s="407">
        <f t="shared" si="4"/>
        <v>-0.00000000271692017</v>
      </c>
      <c r="P123" s="368" t="str">
        <f>IF(AND(K123&gt;K122,K123-2+1='Pro Forma Detail'!D$66),E120,)</f>
        <v/>
      </c>
      <c r="Q123" s="369" t="str">
        <f t="shared" si="11"/>
        <v/>
      </c>
      <c r="R123" s="370">
        <f t="shared" si="12"/>
        <v>0</v>
      </c>
      <c r="S123" s="370">
        <f t="shared" si="13"/>
        <v>0</v>
      </c>
      <c r="T123" s="1"/>
    </row>
    <row r="124" ht="12.75" customHeight="1">
      <c r="A124" s="1">
        <v>113.0</v>
      </c>
      <c r="B124" s="408">
        <f t="shared" si="5"/>
        <v>0</v>
      </c>
      <c r="C124" s="408">
        <f t="shared" si="6"/>
        <v>0</v>
      </c>
      <c r="D124" s="409">
        <f t="shared" si="7"/>
        <v>0</v>
      </c>
      <c r="E124" s="176">
        <f t="shared" si="8"/>
        <v>-0.00000000270877246</v>
      </c>
      <c r="F124" s="408">
        <f t="shared" si="14"/>
        <v>16306617.46</v>
      </c>
      <c r="G124" s="408">
        <f t="shared" si="15"/>
        <v>30373143.87</v>
      </c>
      <c r="H124" s="410">
        <f t="shared" si="16"/>
        <v>0.0275</v>
      </c>
      <c r="I124" s="1">
        <f t="shared" si="1"/>
        <v>113</v>
      </c>
      <c r="J124" s="406">
        <f t="shared" si="17"/>
        <v>47604</v>
      </c>
      <c r="K124" s="105">
        <f t="shared" si="9"/>
        <v>10</v>
      </c>
      <c r="L124" s="411">
        <f t="shared" si="10"/>
        <v>0</v>
      </c>
      <c r="M124" s="407">
        <f t="shared" si="2"/>
        <v>0</v>
      </c>
      <c r="N124" s="407">
        <f t="shared" si="3"/>
        <v>0</v>
      </c>
      <c r="O124" s="407">
        <f t="shared" si="4"/>
        <v>-0.00000000270877246</v>
      </c>
      <c r="P124" s="368" t="str">
        <f>IF(AND(K124&gt;K123,K124-2+1='Pro Forma Detail'!D$66),E121,)</f>
        <v/>
      </c>
      <c r="Q124" s="369" t="str">
        <f t="shared" si="11"/>
        <v/>
      </c>
      <c r="R124" s="370">
        <f t="shared" si="12"/>
        <v>0</v>
      </c>
      <c r="S124" s="370">
        <f t="shared" si="13"/>
        <v>0</v>
      </c>
      <c r="T124" s="1"/>
    </row>
    <row r="125" ht="12.75" customHeight="1">
      <c r="A125" s="1">
        <v>114.0</v>
      </c>
      <c r="B125" s="408">
        <f t="shared" si="5"/>
        <v>0</v>
      </c>
      <c r="C125" s="408">
        <f t="shared" si="6"/>
        <v>0</v>
      </c>
      <c r="D125" s="409">
        <f t="shared" si="7"/>
        <v>0</v>
      </c>
      <c r="E125" s="176">
        <f t="shared" si="8"/>
        <v>-0.000000002700606079</v>
      </c>
      <c r="F125" s="408">
        <f t="shared" si="14"/>
        <v>16306617.46</v>
      </c>
      <c r="G125" s="408">
        <f t="shared" si="15"/>
        <v>30373143.87</v>
      </c>
      <c r="H125" s="410">
        <f t="shared" si="16"/>
        <v>0.0275</v>
      </c>
      <c r="I125" s="1">
        <f t="shared" si="1"/>
        <v>114</v>
      </c>
      <c r="J125" s="406">
        <f t="shared" si="17"/>
        <v>47635</v>
      </c>
      <c r="K125" s="105">
        <f t="shared" si="9"/>
        <v>10</v>
      </c>
      <c r="L125" s="411">
        <f t="shared" si="10"/>
        <v>0</v>
      </c>
      <c r="M125" s="407">
        <f t="shared" si="2"/>
        <v>0</v>
      </c>
      <c r="N125" s="407">
        <f t="shared" si="3"/>
        <v>0</v>
      </c>
      <c r="O125" s="407">
        <f t="shared" si="4"/>
        <v>-0.000000002700606079</v>
      </c>
      <c r="P125" s="368" t="str">
        <f>IF(AND(K125&gt;K124,K125-2+1='Pro Forma Detail'!D$66),E122,)</f>
        <v/>
      </c>
      <c r="Q125" s="369" t="str">
        <f t="shared" si="11"/>
        <v/>
      </c>
      <c r="R125" s="370">
        <f t="shared" si="12"/>
        <v>0</v>
      </c>
      <c r="S125" s="370">
        <f t="shared" si="13"/>
        <v>0</v>
      </c>
      <c r="T125" s="1"/>
    </row>
    <row r="126" ht="12.75" customHeight="1">
      <c r="A126" s="1">
        <v>115.0</v>
      </c>
      <c r="B126" s="408">
        <f t="shared" si="5"/>
        <v>0</v>
      </c>
      <c r="C126" s="408">
        <f t="shared" si="6"/>
        <v>0</v>
      </c>
      <c r="D126" s="409">
        <f t="shared" si="7"/>
        <v>0</v>
      </c>
      <c r="E126" s="176">
        <f t="shared" si="8"/>
        <v>-0.000000002692420982</v>
      </c>
      <c r="F126" s="408">
        <f t="shared" si="14"/>
        <v>16306617.46</v>
      </c>
      <c r="G126" s="408">
        <f t="shared" si="15"/>
        <v>30373143.87</v>
      </c>
      <c r="H126" s="410">
        <f t="shared" si="16"/>
        <v>0.0275</v>
      </c>
      <c r="I126" s="1">
        <f t="shared" si="1"/>
        <v>115</v>
      </c>
      <c r="J126" s="406">
        <f t="shared" si="17"/>
        <v>47665</v>
      </c>
      <c r="K126" s="105">
        <f t="shared" si="9"/>
        <v>10</v>
      </c>
      <c r="L126" s="411">
        <f t="shared" si="10"/>
        <v>0</v>
      </c>
      <c r="M126" s="407">
        <f t="shared" si="2"/>
        <v>0</v>
      </c>
      <c r="N126" s="407">
        <f t="shared" si="3"/>
        <v>0</v>
      </c>
      <c r="O126" s="407">
        <f t="shared" si="4"/>
        <v>-0.000000002692420982</v>
      </c>
      <c r="P126" s="368" t="str">
        <f>IF(AND(K126&gt;K125,K126-2+1='Pro Forma Detail'!D$66),E123,)</f>
        <v/>
      </c>
      <c r="Q126" s="369" t="str">
        <f t="shared" si="11"/>
        <v/>
      </c>
      <c r="R126" s="370">
        <f t="shared" si="12"/>
        <v>0</v>
      </c>
      <c r="S126" s="370">
        <f t="shared" si="13"/>
        <v>0</v>
      </c>
      <c r="T126" s="1"/>
    </row>
    <row r="127" ht="12.75" customHeight="1">
      <c r="A127" s="1">
        <v>116.0</v>
      </c>
      <c r="B127" s="408">
        <f t="shared" si="5"/>
        <v>0</v>
      </c>
      <c r="C127" s="408">
        <f t="shared" si="6"/>
        <v>0</v>
      </c>
      <c r="D127" s="409">
        <f t="shared" si="7"/>
        <v>0</v>
      </c>
      <c r="E127" s="176">
        <f t="shared" si="8"/>
        <v>-0.000000002684217129</v>
      </c>
      <c r="F127" s="408">
        <f t="shared" si="14"/>
        <v>16306617.46</v>
      </c>
      <c r="G127" s="408">
        <f t="shared" si="15"/>
        <v>30373143.87</v>
      </c>
      <c r="H127" s="410">
        <f t="shared" si="16"/>
        <v>0.0275</v>
      </c>
      <c r="I127" s="1">
        <f t="shared" si="1"/>
        <v>116</v>
      </c>
      <c r="J127" s="406">
        <f t="shared" si="17"/>
        <v>47696</v>
      </c>
      <c r="K127" s="105">
        <f t="shared" si="9"/>
        <v>10</v>
      </c>
      <c r="L127" s="411">
        <f t="shared" si="10"/>
        <v>0</v>
      </c>
      <c r="M127" s="407">
        <f t="shared" si="2"/>
        <v>0</v>
      </c>
      <c r="N127" s="407">
        <f t="shared" si="3"/>
        <v>0</v>
      </c>
      <c r="O127" s="407">
        <f t="shared" si="4"/>
        <v>-0.000000002684217129</v>
      </c>
      <c r="P127" s="368" t="str">
        <f>IF(AND(K127&gt;K126,K127-2+1='Pro Forma Detail'!D$66),E124,)</f>
        <v/>
      </c>
      <c r="Q127" s="369" t="str">
        <f t="shared" si="11"/>
        <v/>
      </c>
      <c r="R127" s="370">
        <f t="shared" si="12"/>
        <v>0</v>
      </c>
      <c r="S127" s="370">
        <f t="shared" si="13"/>
        <v>0</v>
      </c>
      <c r="T127" s="1"/>
    </row>
    <row r="128" ht="12.75" customHeight="1">
      <c r="A128" s="1">
        <v>117.0</v>
      </c>
      <c r="B128" s="408">
        <f t="shared" si="5"/>
        <v>0</v>
      </c>
      <c r="C128" s="408">
        <f t="shared" si="6"/>
        <v>0</v>
      </c>
      <c r="D128" s="409">
        <f t="shared" si="7"/>
        <v>0</v>
      </c>
      <c r="E128" s="176">
        <f t="shared" si="8"/>
        <v>-0.000000002675994475</v>
      </c>
      <c r="F128" s="408">
        <f t="shared" si="14"/>
        <v>16306617.46</v>
      </c>
      <c r="G128" s="408">
        <f t="shared" si="15"/>
        <v>30373143.87</v>
      </c>
      <c r="H128" s="410">
        <f t="shared" si="16"/>
        <v>0.0275</v>
      </c>
      <c r="I128" s="1">
        <f t="shared" si="1"/>
        <v>117</v>
      </c>
      <c r="J128" s="406">
        <f t="shared" si="17"/>
        <v>47727</v>
      </c>
      <c r="K128" s="105">
        <f t="shared" si="9"/>
        <v>10</v>
      </c>
      <c r="L128" s="411">
        <f t="shared" si="10"/>
        <v>0</v>
      </c>
      <c r="M128" s="407">
        <f t="shared" si="2"/>
        <v>0</v>
      </c>
      <c r="N128" s="407">
        <f t="shared" si="3"/>
        <v>0</v>
      </c>
      <c r="O128" s="407">
        <f t="shared" si="4"/>
        <v>-0.000000002675994475</v>
      </c>
      <c r="P128" s="368" t="str">
        <f>IF(AND(K128&gt;K127,K128-2+1='Pro Forma Detail'!D$66),E125,)</f>
        <v/>
      </c>
      <c r="Q128" s="369" t="str">
        <f t="shared" si="11"/>
        <v/>
      </c>
      <c r="R128" s="370">
        <f t="shared" si="12"/>
        <v>0</v>
      </c>
      <c r="S128" s="370">
        <f t="shared" si="13"/>
        <v>0</v>
      </c>
      <c r="T128" s="1"/>
    </row>
    <row r="129" ht="12.75" customHeight="1">
      <c r="A129" s="1">
        <v>118.0</v>
      </c>
      <c r="B129" s="408">
        <f t="shared" si="5"/>
        <v>0</v>
      </c>
      <c r="C129" s="408">
        <f t="shared" si="6"/>
        <v>0</v>
      </c>
      <c r="D129" s="409">
        <f t="shared" si="7"/>
        <v>0</v>
      </c>
      <c r="E129" s="176">
        <f t="shared" si="8"/>
        <v>-0.000000002667752977</v>
      </c>
      <c r="F129" s="408">
        <f t="shared" si="14"/>
        <v>16306617.46</v>
      </c>
      <c r="G129" s="408">
        <f t="shared" si="15"/>
        <v>30373143.87</v>
      </c>
      <c r="H129" s="410">
        <f t="shared" si="16"/>
        <v>0.0275</v>
      </c>
      <c r="I129" s="1">
        <f t="shared" si="1"/>
        <v>118</v>
      </c>
      <c r="J129" s="406">
        <f t="shared" si="17"/>
        <v>47757</v>
      </c>
      <c r="K129" s="105">
        <f t="shared" si="9"/>
        <v>10</v>
      </c>
      <c r="L129" s="411">
        <f t="shared" si="10"/>
        <v>0</v>
      </c>
      <c r="M129" s="407">
        <f t="shared" si="2"/>
        <v>0</v>
      </c>
      <c r="N129" s="407">
        <f t="shared" si="3"/>
        <v>0</v>
      </c>
      <c r="O129" s="407">
        <f t="shared" si="4"/>
        <v>-0.000000002667752977</v>
      </c>
      <c r="P129" s="368" t="str">
        <f>IF(AND(K129&gt;K128,K129-2+1='Pro Forma Detail'!D$66),E126,)</f>
        <v/>
      </c>
      <c r="Q129" s="369" t="str">
        <f t="shared" si="11"/>
        <v/>
      </c>
      <c r="R129" s="370">
        <f t="shared" si="12"/>
        <v>0</v>
      </c>
      <c r="S129" s="370">
        <f t="shared" si="13"/>
        <v>0</v>
      </c>
      <c r="T129" s="1"/>
    </row>
    <row r="130" ht="12.75" customHeight="1">
      <c r="A130" s="1">
        <v>119.0</v>
      </c>
      <c r="B130" s="408">
        <f t="shared" si="5"/>
        <v>0</v>
      </c>
      <c r="C130" s="408">
        <f t="shared" si="6"/>
        <v>0</v>
      </c>
      <c r="D130" s="409">
        <f t="shared" si="7"/>
        <v>0</v>
      </c>
      <c r="E130" s="176">
        <f t="shared" si="8"/>
        <v>-0.000000002659492592</v>
      </c>
      <c r="F130" s="408">
        <f t="shared" si="14"/>
        <v>16306617.46</v>
      </c>
      <c r="G130" s="408">
        <f t="shared" si="15"/>
        <v>30373143.87</v>
      </c>
      <c r="H130" s="410">
        <f t="shared" si="16"/>
        <v>0.0275</v>
      </c>
      <c r="I130" s="1">
        <f t="shared" si="1"/>
        <v>119</v>
      </c>
      <c r="J130" s="406">
        <f t="shared" si="17"/>
        <v>47788</v>
      </c>
      <c r="K130" s="105">
        <f t="shared" si="9"/>
        <v>10</v>
      </c>
      <c r="L130" s="411">
        <f t="shared" si="10"/>
        <v>0</v>
      </c>
      <c r="M130" s="407">
        <f t="shared" si="2"/>
        <v>0</v>
      </c>
      <c r="N130" s="407">
        <f t="shared" si="3"/>
        <v>0</v>
      </c>
      <c r="O130" s="407">
        <f t="shared" si="4"/>
        <v>-0.000000002659492592</v>
      </c>
      <c r="P130" s="368" t="str">
        <f>IF(AND(K130&gt;K129,K130-2+1='Pro Forma Detail'!D$66),E127,)</f>
        <v/>
      </c>
      <c r="Q130" s="369" t="str">
        <f t="shared" si="11"/>
        <v/>
      </c>
      <c r="R130" s="370">
        <f t="shared" si="12"/>
        <v>0</v>
      </c>
      <c r="S130" s="370">
        <f t="shared" si="13"/>
        <v>0</v>
      </c>
      <c r="T130" s="1"/>
    </row>
    <row r="131" ht="12.75" customHeight="1">
      <c r="A131" s="1">
        <v>120.0</v>
      </c>
      <c r="B131" s="408">
        <f t="shared" si="5"/>
        <v>0</v>
      </c>
      <c r="C131" s="408">
        <f t="shared" si="6"/>
        <v>0</v>
      </c>
      <c r="D131" s="409">
        <f t="shared" si="7"/>
        <v>0</v>
      </c>
      <c r="E131" s="176">
        <f t="shared" si="8"/>
        <v>-0.000000002651213278</v>
      </c>
      <c r="F131" s="408">
        <f t="shared" si="14"/>
        <v>16306617.46</v>
      </c>
      <c r="G131" s="408">
        <f t="shared" si="15"/>
        <v>30373143.87</v>
      </c>
      <c r="H131" s="410">
        <f t="shared" si="16"/>
        <v>0.0275</v>
      </c>
      <c r="I131" s="1">
        <f t="shared" si="1"/>
        <v>120</v>
      </c>
      <c r="J131" s="406">
        <f t="shared" si="17"/>
        <v>47818</v>
      </c>
      <c r="K131" s="105">
        <f t="shared" si="9"/>
        <v>10</v>
      </c>
      <c r="L131" s="411">
        <f t="shared" si="10"/>
        <v>0</v>
      </c>
      <c r="M131" s="407">
        <f t="shared" si="2"/>
        <v>0</v>
      </c>
      <c r="N131" s="407">
        <f t="shared" si="3"/>
        <v>0</v>
      </c>
      <c r="O131" s="407">
        <f t="shared" si="4"/>
        <v>-0.000000002651213278</v>
      </c>
      <c r="P131" s="368" t="str">
        <f>IF(AND(K131&gt;K130,K131-2+1='Pro Forma Detail'!D$66),E128,)</f>
        <v/>
      </c>
      <c r="Q131" s="369" t="str">
        <f t="shared" si="11"/>
        <v/>
      </c>
      <c r="R131" s="370">
        <f t="shared" si="12"/>
        <v>0</v>
      </c>
      <c r="S131" s="370">
        <f t="shared" si="13"/>
        <v>0</v>
      </c>
      <c r="T131" s="1"/>
    </row>
    <row r="132" ht="12.75" customHeight="1">
      <c r="A132" s="1">
        <v>121.0</v>
      </c>
      <c r="B132" s="408">
        <f t="shared" si="5"/>
        <v>0</v>
      </c>
      <c r="C132" s="408">
        <f t="shared" si="6"/>
        <v>0</v>
      </c>
      <c r="D132" s="409">
        <f t="shared" si="7"/>
        <v>0</v>
      </c>
      <c r="E132" s="176">
        <f t="shared" si="8"/>
        <v>-0.00000000264291499</v>
      </c>
      <c r="F132" s="408">
        <f t="shared" si="14"/>
        <v>16306617.46</v>
      </c>
      <c r="G132" s="408">
        <f t="shared" si="15"/>
        <v>30373143.87</v>
      </c>
      <c r="H132" s="410">
        <f t="shared" si="16"/>
        <v>0.0275</v>
      </c>
      <c r="I132" s="1">
        <f t="shared" si="1"/>
        <v>121</v>
      </c>
      <c r="J132" s="406">
        <f t="shared" si="17"/>
        <v>47849</v>
      </c>
      <c r="K132" s="105">
        <f t="shared" si="9"/>
        <v>11</v>
      </c>
      <c r="L132" s="411">
        <f t="shared" si="10"/>
        <v>0</v>
      </c>
      <c r="M132" s="407">
        <f t="shared" si="2"/>
        <v>0</v>
      </c>
      <c r="N132" s="407">
        <f t="shared" si="3"/>
        <v>0</v>
      </c>
      <c r="O132" s="407">
        <f t="shared" si="4"/>
        <v>-0.00000000264291499</v>
      </c>
      <c r="P132" s="368" t="str">
        <f>IF(AND(K132&gt;K131,K132-2+1='Pro Forma Detail'!D$66),E129,)</f>
        <v/>
      </c>
      <c r="Q132" s="369" t="str">
        <f t="shared" si="11"/>
        <v/>
      </c>
      <c r="R132" s="370">
        <f t="shared" si="12"/>
        <v>0</v>
      </c>
      <c r="S132" s="370">
        <f t="shared" si="13"/>
        <v>0</v>
      </c>
      <c r="T132" s="1"/>
    </row>
    <row r="133" ht="12.75" customHeight="1">
      <c r="A133" s="1">
        <v>122.0</v>
      </c>
      <c r="B133" s="408">
        <f t="shared" si="5"/>
        <v>0</v>
      </c>
      <c r="C133" s="408">
        <f t="shared" si="6"/>
        <v>0</v>
      </c>
      <c r="D133" s="409">
        <f t="shared" si="7"/>
        <v>0</v>
      </c>
      <c r="E133" s="176">
        <f t="shared" si="8"/>
        <v>-0.000000002634597685</v>
      </c>
      <c r="F133" s="408">
        <f t="shared" si="14"/>
        <v>16306617.46</v>
      </c>
      <c r="G133" s="408">
        <f t="shared" si="15"/>
        <v>30373143.87</v>
      </c>
      <c r="H133" s="410">
        <f t="shared" si="16"/>
        <v>0.0275</v>
      </c>
      <c r="I133" s="1">
        <f t="shared" si="1"/>
        <v>122</v>
      </c>
      <c r="J133" s="406">
        <f t="shared" si="17"/>
        <v>47880</v>
      </c>
      <c r="K133" s="105">
        <f t="shared" si="9"/>
        <v>11</v>
      </c>
      <c r="L133" s="411">
        <f t="shared" si="10"/>
        <v>0</v>
      </c>
      <c r="M133" s="407">
        <f t="shared" si="2"/>
        <v>0</v>
      </c>
      <c r="N133" s="407">
        <f t="shared" si="3"/>
        <v>0</v>
      </c>
      <c r="O133" s="407">
        <f t="shared" si="4"/>
        <v>-0.000000002634597685</v>
      </c>
      <c r="P133" s="368" t="str">
        <f>IF(AND(K133&gt;K132,K133-2+1='Pro Forma Detail'!D$66),E130,)</f>
        <v/>
      </c>
      <c r="Q133" s="369" t="str">
        <f t="shared" si="11"/>
        <v/>
      </c>
      <c r="R133" s="370">
        <f t="shared" si="12"/>
        <v>0</v>
      </c>
      <c r="S133" s="370">
        <f t="shared" si="13"/>
        <v>0</v>
      </c>
      <c r="T133" s="1"/>
    </row>
    <row r="134" ht="12.75" customHeight="1">
      <c r="A134" s="1">
        <v>123.0</v>
      </c>
      <c r="B134" s="408">
        <f t="shared" si="5"/>
        <v>0</v>
      </c>
      <c r="C134" s="408">
        <f t="shared" si="6"/>
        <v>0</v>
      </c>
      <c r="D134" s="409">
        <f t="shared" si="7"/>
        <v>0</v>
      </c>
      <c r="E134" s="176">
        <f t="shared" si="8"/>
        <v>-0.000000002626261319</v>
      </c>
      <c r="F134" s="408">
        <f t="shared" si="14"/>
        <v>16306617.46</v>
      </c>
      <c r="G134" s="408">
        <f t="shared" si="15"/>
        <v>30373143.87</v>
      </c>
      <c r="H134" s="410">
        <f t="shared" si="16"/>
        <v>0.0275</v>
      </c>
      <c r="I134" s="1">
        <f t="shared" si="1"/>
        <v>123</v>
      </c>
      <c r="J134" s="406">
        <f t="shared" si="17"/>
        <v>47908</v>
      </c>
      <c r="K134" s="105">
        <f t="shared" si="9"/>
        <v>11</v>
      </c>
      <c r="L134" s="411">
        <f t="shared" si="10"/>
        <v>0</v>
      </c>
      <c r="M134" s="407">
        <f t="shared" si="2"/>
        <v>0</v>
      </c>
      <c r="N134" s="407">
        <f t="shared" si="3"/>
        <v>0</v>
      </c>
      <c r="O134" s="407">
        <f t="shared" si="4"/>
        <v>-0.000000002626261319</v>
      </c>
      <c r="P134" s="368" t="str">
        <f>IF(AND(K134&gt;K133,K134-2+1='Pro Forma Detail'!D$66),E131,)</f>
        <v/>
      </c>
      <c r="Q134" s="369" t="str">
        <f t="shared" si="11"/>
        <v/>
      </c>
      <c r="R134" s="370">
        <f t="shared" si="12"/>
        <v>0</v>
      </c>
      <c r="S134" s="370">
        <f t="shared" si="13"/>
        <v>0</v>
      </c>
      <c r="T134" s="1"/>
    </row>
    <row r="135" ht="12.75" customHeight="1">
      <c r="A135" s="1">
        <v>124.0</v>
      </c>
      <c r="B135" s="408">
        <f t="shared" si="5"/>
        <v>0</v>
      </c>
      <c r="C135" s="408">
        <f t="shared" si="6"/>
        <v>0</v>
      </c>
      <c r="D135" s="409">
        <f t="shared" si="7"/>
        <v>0</v>
      </c>
      <c r="E135" s="176">
        <f t="shared" si="8"/>
        <v>-0.00000000261790585</v>
      </c>
      <c r="F135" s="408">
        <f t="shared" si="14"/>
        <v>16306617.46</v>
      </c>
      <c r="G135" s="408">
        <f t="shared" si="15"/>
        <v>30373143.87</v>
      </c>
      <c r="H135" s="410">
        <f t="shared" si="16"/>
        <v>0.0275</v>
      </c>
      <c r="I135" s="1">
        <f t="shared" si="1"/>
        <v>124</v>
      </c>
      <c r="J135" s="406">
        <f t="shared" si="17"/>
        <v>47939</v>
      </c>
      <c r="K135" s="105">
        <f t="shared" si="9"/>
        <v>11</v>
      </c>
      <c r="L135" s="411">
        <f t="shared" si="10"/>
        <v>0</v>
      </c>
      <c r="M135" s="407">
        <f t="shared" si="2"/>
        <v>0</v>
      </c>
      <c r="N135" s="407">
        <f t="shared" si="3"/>
        <v>0</v>
      </c>
      <c r="O135" s="407">
        <f t="shared" si="4"/>
        <v>-0.00000000261790585</v>
      </c>
      <c r="P135" s="368" t="str">
        <f>IF(AND(K135&gt;K134,K135-2+1='Pro Forma Detail'!D$66),E132,)</f>
        <v/>
      </c>
      <c r="Q135" s="369" t="str">
        <f t="shared" si="11"/>
        <v/>
      </c>
      <c r="R135" s="370">
        <f t="shared" si="12"/>
        <v>0</v>
      </c>
      <c r="S135" s="370">
        <f t="shared" si="13"/>
        <v>0</v>
      </c>
      <c r="T135" s="1"/>
    </row>
    <row r="136" ht="12.75" customHeight="1">
      <c r="A136" s="1">
        <v>125.0</v>
      </c>
      <c r="B136" s="408">
        <f t="shared" si="5"/>
        <v>0</v>
      </c>
      <c r="C136" s="408">
        <f t="shared" si="6"/>
        <v>0</v>
      </c>
      <c r="D136" s="409">
        <f t="shared" si="7"/>
        <v>0</v>
      </c>
      <c r="E136" s="176">
        <f t="shared" si="8"/>
        <v>-0.000000002609531232</v>
      </c>
      <c r="F136" s="408">
        <f t="shared" si="14"/>
        <v>16306617.46</v>
      </c>
      <c r="G136" s="408">
        <f t="shared" si="15"/>
        <v>30373143.87</v>
      </c>
      <c r="H136" s="410">
        <f t="shared" si="16"/>
        <v>0.0275</v>
      </c>
      <c r="I136" s="1">
        <f t="shared" si="1"/>
        <v>125</v>
      </c>
      <c r="J136" s="406">
        <f t="shared" si="17"/>
        <v>47969</v>
      </c>
      <c r="K136" s="105">
        <f t="shared" si="9"/>
        <v>11</v>
      </c>
      <c r="L136" s="411">
        <f t="shared" si="10"/>
        <v>0</v>
      </c>
      <c r="M136" s="407">
        <f t="shared" si="2"/>
        <v>0</v>
      </c>
      <c r="N136" s="407">
        <f t="shared" si="3"/>
        <v>0</v>
      </c>
      <c r="O136" s="407">
        <f t="shared" si="4"/>
        <v>-0.000000002609531232</v>
      </c>
      <c r="P136" s="368" t="str">
        <f>IF(AND(K136&gt;K135,K136-2+1='Pro Forma Detail'!D$66),E133,)</f>
        <v/>
      </c>
      <c r="Q136" s="369" t="str">
        <f t="shared" si="11"/>
        <v/>
      </c>
      <c r="R136" s="370">
        <f t="shared" si="12"/>
        <v>0</v>
      </c>
      <c r="S136" s="370">
        <f t="shared" si="13"/>
        <v>0</v>
      </c>
      <c r="T136" s="1"/>
    </row>
    <row r="137" ht="12.75" customHeight="1">
      <c r="A137" s="1">
        <v>126.0</v>
      </c>
      <c r="B137" s="408">
        <f t="shared" si="5"/>
        <v>0</v>
      </c>
      <c r="C137" s="408">
        <f t="shared" si="6"/>
        <v>0</v>
      </c>
      <c r="D137" s="409">
        <f t="shared" si="7"/>
        <v>0</v>
      </c>
      <c r="E137" s="176">
        <f t="shared" si="8"/>
        <v>-0.000000002601137423</v>
      </c>
      <c r="F137" s="408">
        <f t="shared" si="14"/>
        <v>16306617.46</v>
      </c>
      <c r="G137" s="408">
        <f t="shared" si="15"/>
        <v>30373143.87</v>
      </c>
      <c r="H137" s="410">
        <f t="shared" si="16"/>
        <v>0.0275</v>
      </c>
      <c r="I137" s="1">
        <f t="shared" si="1"/>
        <v>126</v>
      </c>
      <c r="J137" s="406">
        <f t="shared" si="17"/>
        <v>48000</v>
      </c>
      <c r="K137" s="105">
        <f t="shared" si="9"/>
        <v>11</v>
      </c>
      <c r="L137" s="411">
        <f t="shared" si="10"/>
        <v>0</v>
      </c>
      <c r="M137" s="407">
        <f t="shared" si="2"/>
        <v>0</v>
      </c>
      <c r="N137" s="407">
        <f t="shared" si="3"/>
        <v>0</v>
      </c>
      <c r="O137" s="407">
        <f t="shared" si="4"/>
        <v>-0.000000002601137423</v>
      </c>
      <c r="P137" s="368" t="str">
        <f>IF(AND(K137&gt;K136,K137-2+1='Pro Forma Detail'!D$66),E134,)</f>
        <v/>
      </c>
      <c r="Q137" s="369" t="str">
        <f t="shared" si="11"/>
        <v/>
      </c>
      <c r="R137" s="370">
        <f t="shared" si="12"/>
        <v>0</v>
      </c>
      <c r="S137" s="370">
        <f t="shared" si="13"/>
        <v>0</v>
      </c>
      <c r="T137" s="1"/>
    </row>
    <row r="138" ht="12.75" customHeight="1">
      <c r="A138" s="1">
        <v>127.0</v>
      </c>
      <c r="B138" s="408">
        <f t="shared" si="5"/>
        <v>0</v>
      </c>
      <c r="C138" s="408">
        <f t="shared" si="6"/>
        <v>0</v>
      </c>
      <c r="D138" s="409">
        <f t="shared" si="7"/>
        <v>0</v>
      </c>
      <c r="E138" s="176">
        <f t="shared" si="8"/>
        <v>-0.000000002592724378</v>
      </c>
      <c r="F138" s="408">
        <f t="shared" si="14"/>
        <v>16306617.46</v>
      </c>
      <c r="G138" s="408">
        <f t="shared" si="15"/>
        <v>30373143.87</v>
      </c>
      <c r="H138" s="410">
        <f t="shared" si="16"/>
        <v>0.0275</v>
      </c>
      <c r="I138" s="1">
        <f t="shared" si="1"/>
        <v>127</v>
      </c>
      <c r="J138" s="406">
        <f t="shared" si="17"/>
        <v>48030</v>
      </c>
      <c r="K138" s="105">
        <f t="shared" si="9"/>
        <v>11</v>
      </c>
      <c r="L138" s="411">
        <f t="shared" si="10"/>
        <v>0</v>
      </c>
      <c r="M138" s="407">
        <f t="shared" si="2"/>
        <v>0</v>
      </c>
      <c r="N138" s="407">
        <f t="shared" si="3"/>
        <v>0</v>
      </c>
      <c r="O138" s="407">
        <f t="shared" si="4"/>
        <v>-0.000000002592724378</v>
      </c>
      <c r="P138" s="368" t="str">
        <f>IF(AND(K138&gt;K137,K138-2+1='Pro Forma Detail'!D$66),E135,)</f>
        <v/>
      </c>
      <c r="Q138" s="369" t="str">
        <f t="shared" si="11"/>
        <v/>
      </c>
      <c r="R138" s="370">
        <f t="shared" si="12"/>
        <v>0</v>
      </c>
      <c r="S138" s="370">
        <f t="shared" si="13"/>
        <v>0</v>
      </c>
      <c r="T138" s="1"/>
    </row>
    <row r="139" ht="12.75" customHeight="1">
      <c r="A139" s="1">
        <v>128.0</v>
      </c>
      <c r="B139" s="408">
        <f t="shared" si="5"/>
        <v>0</v>
      </c>
      <c r="C139" s="408">
        <f t="shared" si="6"/>
        <v>0</v>
      </c>
      <c r="D139" s="409">
        <f t="shared" si="7"/>
        <v>0</v>
      </c>
      <c r="E139" s="176">
        <f t="shared" si="8"/>
        <v>-0.000000002584292053</v>
      </c>
      <c r="F139" s="408">
        <f t="shared" si="14"/>
        <v>16306617.46</v>
      </c>
      <c r="G139" s="408">
        <f t="shared" si="15"/>
        <v>30373143.87</v>
      </c>
      <c r="H139" s="410">
        <f t="shared" si="16"/>
        <v>0.0275</v>
      </c>
      <c r="I139" s="1">
        <f t="shared" si="1"/>
        <v>128</v>
      </c>
      <c r="J139" s="406">
        <f t="shared" si="17"/>
        <v>48061</v>
      </c>
      <c r="K139" s="105">
        <f t="shared" si="9"/>
        <v>11</v>
      </c>
      <c r="L139" s="411">
        <f t="shared" si="10"/>
        <v>0</v>
      </c>
      <c r="M139" s="407">
        <f t="shared" si="2"/>
        <v>0</v>
      </c>
      <c r="N139" s="407">
        <f t="shared" si="3"/>
        <v>0</v>
      </c>
      <c r="O139" s="407">
        <f t="shared" si="4"/>
        <v>-0.000000002584292053</v>
      </c>
      <c r="P139" s="368" t="str">
        <f>IF(AND(K139&gt;K138,K139-2+1='Pro Forma Detail'!D$66),E136,)</f>
        <v/>
      </c>
      <c r="Q139" s="369" t="str">
        <f t="shared" si="11"/>
        <v/>
      </c>
      <c r="R139" s="370">
        <f t="shared" si="12"/>
        <v>0</v>
      </c>
      <c r="S139" s="370">
        <f t="shared" si="13"/>
        <v>0</v>
      </c>
      <c r="T139" s="1"/>
    </row>
    <row r="140" ht="12.75" customHeight="1">
      <c r="A140" s="1">
        <v>129.0</v>
      </c>
      <c r="B140" s="408">
        <f t="shared" si="5"/>
        <v>0</v>
      </c>
      <c r="C140" s="408">
        <f t="shared" si="6"/>
        <v>0</v>
      </c>
      <c r="D140" s="409">
        <f t="shared" si="7"/>
        <v>0</v>
      </c>
      <c r="E140" s="176">
        <f t="shared" si="8"/>
        <v>-0.000000002575840403</v>
      </c>
      <c r="F140" s="408">
        <f t="shared" si="14"/>
        <v>16306617.46</v>
      </c>
      <c r="G140" s="408">
        <f t="shared" si="15"/>
        <v>30373143.87</v>
      </c>
      <c r="H140" s="410">
        <f t="shared" si="16"/>
        <v>0.0275</v>
      </c>
      <c r="I140" s="1">
        <f t="shared" si="1"/>
        <v>129</v>
      </c>
      <c r="J140" s="406">
        <f t="shared" si="17"/>
        <v>48092</v>
      </c>
      <c r="K140" s="105">
        <f t="shared" si="9"/>
        <v>11</v>
      </c>
      <c r="L140" s="411">
        <f t="shared" si="10"/>
        <v>0</v>
      </c>
      <c r="M140" s="407">
        <f t="shared" si="2"/>
        <v>0</v>
      </c>
      <c r="N140" s="407">
        <f t="shared" si="3"/>
        <v>0</v>
      </c>
      <c r="O140" s="407">
        <f t="shared" si="4"/>
        <v>-0.000000002575840403</v>
      </c>
      <c r="P140" s="368" t="str">
        <f>IF(AND(K140&gt;K139,K140-2+1='Pro Forma Detail'!D$66),E137,)</f>
        <v/>
      </c>
      <c r="Q140" s="369" t="str">
        <f t="shared" si="11"/>
        <v/>
      </c>
      <c r="R140" s="370">
        <f t="shared" si="12"/>
        <v>0</v>
      </c>
      <c r="S140" s="370">
        <f t="shared" si="13"/>
        <v>0</v>
      </c>
      <c r="T140" s="1"/>
    </row>
    <row r="141" ht="12.75" customHeight="1">
      <c r="A141" s="1">
        <v>130.0</v>
      </c>
      <c r="B141" s="408">
        <f t="shared" si="5"/>
        <v>0</v>
      </c>
      <c r="C141" s="408">
        <f t="shared" si="6"/>
        <v>0</v>
      </c>
      <c r="D141" s="409">
        <f t="shared" si="7"/>
        <v>0</v>
      </c>
      <c r="E141" s="176">
        <f t="shared" si="8"/>
        <v>-0.000000002567369386</v>
      </c>
      <c r="F141" s="408">
        <f t="shared" si="14"/>
        <v>16306617.46</v>
      </c>
      <c r="G141" s="408">
        <f t="shared" si="15"/>
        <v>30373143.87</v>
      </c>
      <c r="H141" s="410">
        <f t="shared" si="16"/>
        <v>0.0275</v>
      </c>
      <c r="I141" s="1">
        <f t="shared" si="1"/>
        <v>130</v>
      </c>
      <c r="J141" s="406">
        <f t="shared" si="17"/>
        <v>48122</v>
      </c>
      <c r="K141" s="105">
        <f t="shared" si="9"/>
        <v>11</v>
      </c>
      <c r="L141" s="411">
        <f t="shared" si="10"/>
        <v>0</v>
      </c>
      <c r="M141" s="407">
        <f t="shared" si="2"/>
        <v>0</v>
      </c>
      <c r="N141" s="407">
        <f t="shared" si="3"/>
        <v>0</v>
      </c>
      <c r="O141" s="407">
        <f t="shared" si="4"/>
        <v>-0.000000002567369386</v>
      </c>
      <c r="P141" s="368" t="str">
        <f>IF(AND(K141&gt;K140,K141-2+1='Pro Forma Detail'!D$66),E138,)</f>
        <v/>
      </c>
      <c r="Q141" s="369" t="str">
        <f t="shared" si="11"/>
        <v/>
      </c>
      <c r="R141" s="370">
        <f t="shared" si="12"/>
        <v>0</v>
      </c>
      <c r="S141" s="370">
        <f t="shared" si="13"/>
        <v>0</v>
      </c>
      <c r="T141" s="1"/>
    </row>
    <row r="142" ht="12.75" customHeight="1">
      <c r="A142" s="1">
        <v>131.0</v>
      </c>
      <c r="B142" s="408">
        <f t="shared" si="5"/>
        <v>0</v>
      </c>
      <c r="C142" s="408">
        <f t="shared" si="6"/>
        <v>0</v>
      </c>
      <c r="D142" s="409">
        <f t="shared" si="7"/>
        <v>0</v>
      </c>
      <c r="E142" s="176">
        <f t="shared" si="8"/>
        <v>-0.000000002558878956</v>
      </c>
      <c r="F142" s="408">
        <f t="shared" si="14"/>
        <v>16306617.46</v>
      </c>
      <c r="G142" s="408">
        <f t="shared" si="15"/>
        <v>30373143.87</v>
      </c>
      <c r="H142" s="410">
        <f t="shared" si="16"/>
        <v>0.0275</v>
      </c>
      <c r="I142" s="1">
        <f t="shared" si="1"/>
        <v>131</v>
      </c>
      <c r="J142" s="406">
        <f t="shared" si="17"/>
        <v>48153</v>
      </c>
      <c r="K142" s="105">
        <f t="shared" si="9"/>
        <v>11</v>
      </c>
      <c r="L142" s="411">
        <f t="shared" si="10"/>
        <v>0</v>
      </c>
      <c r="M142" s="407">
        <f t="shared" si="2"/>
        <v>0</v>
      </c>
      <c r="N142" s="407">
        <f t="shared" si="3"/>
        <v>0</v>
      </c>
      <c r="O142" s="407">
        <f t="shared" si="4"/>
        <v>-0.000000002558878956</v>
      </c>
      <c r="P142" s="368" t="str">
        <f>IF(AND(K142&gt;K141,K142-2+1='Pro Forma Detail'!D$66),E139,)</f>
        <v/>
      </c>
      <c r="Q142" s="369" t="str">
        <f t="shared" si="11"/>
        <v/>
      </c>
      <c r="R142" s="370">
        <f t="shared" si="12"/>
        <v>0</v>
      </c>
      <c r="S142" s="370">
        <f t="shared" si="13"/>
        <v>0</v>
      </c>
      <c r="T142" s="1"/>
    </row>
    <row r="143" ht="12.75" customHeight="1">
      <c r="A143" s="1">
        <v>132.0</v>
      </c>
      <c r="B143" s="408">
        <f t="shared" si="5"/>
        <v>0</v>
      </c>
      <c r="C143" s="408">
        <f t="shared" si="6"/>
        <v>0</v>
      </c>
      <c r="D143" s="409">
        <f t="shared" si="7"/>
        <v>0</v>
      </c>
      <c r="E143" s="176">
        <f t="shared" si="8"/>
        <v>-0.000000002550369068</v>
      </c>
      <c r="F143" s="408">
        <f t="shared" si="14"/>
        <v>16306617.46</v>
      </c>
      <c r="G143" s="408">
        <f t="shared" si="15"/>
        <v>30373143.87</v>
      </c>
      <c r="H143" s="410">
        <f t="shared" si="16"/>
        <v>0.0275</v>
      </c>
      <c r="I143" s="1">
        <f t="shared" si="1"/>
        <v>132</v>
      </c>
      <c r="J143" s="406">
        <f t="shared" si="17"/>
        <v>48183</v>
      </c>
      <c r="K143" s="105">
        <f t="shared" si="9"/>
        <v>11</v>
      </c>
      <c r="L143" s="411">
        <f t="shared" si="10"/>
        <v>0</v>
      </c>
      <c r="M143" s="407">
        <f t="shared" si="2"/>
        <v>0</v>
      </c>
      <c r="N143" s="407">
        <f t="shared" si="3"/>
        <v>0</v>
      </c>
      <c r="O143" s="407">
        <f t="shared" si="4"/>
        <v>-0.000000002550369068</v>
      </c>
      <c r="P143" s="368" t="str">
        <f>IF(AND(K143&gt;K142,K143-2+1='Pro Forma Detail'!D$66),E140,)</f>
        <v/>
      </c>
      <c r="Q143" s="369" t="str">
        <f t="shared" si="11"/>
        <v/>
      </c>
      <c r="R143" s="370">
        <f t="shared" si="12"/>
        <v>0</v>
      </c>
      <c r="S143" s="370">
        <f t="shared" si="13"/>
        <v>0</v>
      </c>
      <c r="T143" s="1"/>
    </row>
    <row r="144" ht="12.75" customHeight="1">
      <c r="A144" s="1">
        <v>133.0</v>
      </c>
      <c r="B144" s="408">
        <f t="shared" si="5"/>
        <v>0</v>
      </c>
      <c r="C144" s="408">
        <f t="shared" si="6"/>
        <v>0</v>
      </c>
      <c r="D144" s="409">
        <f t="shared" si="7"/>
        <v>0</v>
      </c>
      <c r="E144" s="176">
        <f t="shared" si="8"/>
        <v>-0.000000002541839679</v>
      </c>
      <c r="F144" s="408">
        <f t="shared" si="14"/>
        <v>16306617.46</v>
      </c>
      <c r="G144" s="408">
        <f t="shared" si="15"/>
        <v>30373143.87</v>
      </c>
      <c r="H144" s="410">
        <f t="shared" si="16"/>
        <v>0.0275</v>
      </c>
      <c r="I144" s="1">
        <f t="shared" si="1"/>
        <v>133</v>
      </c>
      <c r="J144" s="406">
        <f t="shared" si="17"/>
        <v>48214</v>
      </c>
      <c r="K144" s="105">
        <f t="shared" si="9"/>
        <v>12</v>
      </c>
      <c r="L144" s="411">
        <f t="shared" si="10"/>
        <v>0</v>
      </c>
      <c r="M144" s="407">
        <f t="shared" si="2"/>
        <v>0</v>
      </c>
      <c r="N144" s="407">
        <f t="shared" si="3"/>
        <v>0</v>
      </c>
      <c r="O144" s="407">
        <f t="shared" si="4"/>
        <v>-0.000000002541839679</v>
      </c>
      <c r="P144" s="368" t="str">
        <f>IF(AND(K144&gt;K143,K144-2+1='Pro Forma Detail'!D$66),E141,)</f>
        <v/>
      </c>
      <c r="Q144" s="369" t="str">
        <f t="shared" si="11"/>
        <v/>
      </c>
      <c r="R144" s="370">
        <f t="shared" si="12"/>
        <v>0</v>
      </c>
      <c r="S144" s="370">
        <f t="shared" si="13"/>
        <v>0</v>
      </c>
      <c r="T144" s="1"/>
    </row>
    <row r="145" ht="12.75" customHeight="1">
      <c r="A145" s="1">
        <v>134.0</v>
      </c>
      <c r="B145" s="408">
        <f t="shared" si="5"/>
        <v>0</v>
      </c>
      <c r="C145" s="408">
        <f t="shared" si="6"/>
        <v>0</v>
      </c>
      <c r="D145" s="409">
        <f t="shared" si="7"/>
        <v>0</v>
      </c>
      <c r="E145" s="176">
        <f t="shared" si="8"/>
        <v>-0.000000002533290743</v>
      </c>
      <c r="F145" s="408">
        <f t="shared" si="14"/>
        <v>16306617.46</v>
      </c>
      <c r="G145" s="408">
        <f t="shared" si="15"/>
        <v>30373143.87</v>
      </c>
      <c r="H145" s="410">
        <f t="shared" si="16"/>
        <v>0.0275</v>
      </c>
      <c r="I145" s="1">
        <f t="shared" si="1"/>
        <v>134</v>
      </c>
      <c r="J145" s="406">
        <f t="shared" si="17"/>
        <v>48245</v>
      </c>
      <c r="K145" s="105">
        <f t="shared" si="9"/>
        <v>12</v>
      </c>
      <c r="L145" s="411">
        <f t="shared" si="10"/>
        <v>0</v>
      </c>
      <c r="M145" s="407">
        <f t="shared" si="2"/>
        <v>0</v>
      </c>
      <c r="N145" s="407">
        <f t="shared" si="3"/>
        <v>0</v>
      </c>
      <c r="O145" s="407">
        <f t="shared" si="4"/>
        <v>-0.000000002533290743</v>
      </c>
      <c r="P145" s="368" t="str">
        <f>IF(AND(K145&gt;K144,K145-2+1='Pro Forma Detail'!D$66),E142,)</f>
        <v/>
      </c>
      <c r="Q145" s="369" t="str">
        <f t="shared" si="11"/>
        <v/>
      </c>
      <c r="R145" s="370">
        <f t="shared" si="12"/>
        <v>0</v>
      </c>
      <c r="S145" s="370">
        <f t="shared" si="13"/>
        <v>0</v>
      </c>
      <c r="T145" s="1"/>
    </row>
    <row r="146" ht="12.75" customHeight="1">
      <c r="A146" s="1">
        <v>135.0</v>
      </c>
      <c r="B146" s="408">
        <f t="shared" si="5"/>
        <v>0</v>
      </c>
      <c r="C146" s="408">
        <f t="shared" si="6"/>
        <v>0</v>
      </c>
      <c r="D146" s="409">
        <f t="shared" si="7"/>
        <v>0</v>
      </c>
      <c r="E146" s="176">
        <f t="shared" si="8"/>
        <v>-0.000000002524722216</v>
      </c>
      <c r="F146" s="408">
        <f t="shared" si="14"/>
        <v>16306617.46</v>
      </c>
      <c r="G146" s="408">
        <f t="shared" si="15"/>
        <v>30373143.87</v>
      </c>
      <c r="H146" s="410">
        <f t="shared" si="16"/>
        <v>0.0275</v>
      </c>
      <c r="I146" s="1">
        <f t="shared" si="1"/>
        <v>135</v>
      </c>
      <c r="J146" s="406">
        <f t="shared" si="17"/>
        <v>48274</v>
      </c>
      <c r="K146" s="105">
        <f t="shared" si="9"/>
        <v>12</v>
      </c>
      <c r="L146" s="411">
        <f t="shared" si="10"/>
        <v>0</v>
      </c>
      <c r="M146" s="407">
        <f t="shared" si="2"/>
        <v>0</v>
      </c>
      <c r="N146" s="407">
        <f t="shared" si="3"/>
        <v>0</v>
      </c>
      <c r="O146" s="407">
        <f t="shared" si="4"/>
        <v>-0.000000002524722216</v>
      </c>
      <c r="P146" s="368" t="str">
        <f>IF(AND(K146&gt;K145,K146-2+1='Pro Forma Detail'!D$66),E143,)</f>
        <v/>
      </c>
      <c r="Q146" s="369" t="str">
        <f t="shared" si="11"/>
        <v/>
      </c>
      <c r="R146" s="370">
        <f t="shared" si="12"/>
        <v>0</v>
      </c>
      <c r="S146" s="370">
        <f t="shared" si="13"/>
        <v>0</v>
      </c>
      <c r="T146" s="1"/>
    </row>
    <row r="147" ht="12.75" customHeight="1">
      <c r="A147" s="1">
        <v>136.0</v>
      </c>
      <c r="B147" s="408">
        <f t="shared" si="5"/>
        <v>0</v>
      </c>
      <c r="C147" s="408">
        <f t="shared" si="6"/>
        <v>0</v>
      </c>
      <c r="D147" s="409">
        <f t="shared" si="7"/>
        <v>0</v>
      </c>
      <c r="E147" s="176">
        <f t="shared" si="8"/>
        <v>-0.000000002516134052</v>
      </c>
      <c r="F147" s="408">
        <f t="shared" si="14"/>
        <v>16306617.46</v>
      </c>
      <c r="G147" s="408">
        <f t="shared" si="15"/>
        <v>30373143.87</v>
      </c>
      <c r="H147" s="410">
        <f t="shared" si="16"/>
        <v>0.0275</v>
      </c>
      <c r="I147" s="1">
        <f t="shared" si="1"/>
        <v>136</v>
      </c>
      <c r="J147" s="406">
        <f t="shared" si="17"/>
        <v>48305</v>
      </c>
      <c r="K147" s="105">
        <f t="shared" si="9"/>
        <v>12</v>
      </c>
      <c r="L147" s="411">
        <f t="shared" si="10"/>
        <v>0</v>
      </c>
      <c r="M147" s="407">
        <f t="shared" si="2"/>
        <v>0</v>
      </c>
      <c r="N147" s="407">
        <f t="shared" si="3"/>
        <v>0</v>
      </c>
      <c r="O147" s="407">
        <f t="shared" si="4"/>
        <v>-0.000000002516134052</v>
      </c>
      <c r="P147" s="368" t="str">
        <f>IF(AND(K147&gt;K146,K147-2+1='Pro Forma Detail'!D$66),E144,)</f>
        <v/>
      </c>
      <c r="Q147" s="369" t="str">
        <f t="shared" si="11"/>
        <v/>
      </c>
      <c r="R147" s="370">
        <f t="shared" si="12"/>
        <v>0</v>
      </c>
      <c r="S147" s="370">
        <f t="shared" si="13"/>
        <v>0</v>
      </c>
      <c r="T147" s="1"/>
    </row>
    <row r="148" ht="12.75" customHeight="1">
      <c r="A148" s="1">
        <v>137.0</v>
      </c>
      <c r="B148" s="408">
        <f t="shared" si="5"/>
        <v>0</v>
      </c>
      <c r="C148" s="408">
        <f t="shared" si="6"/>
        <v>0</v>
      </c>
      <c r="D148" s="409">
        <f t="shared" si="7"/>
        <v>0</v>
      </c>
      <c r="E148" s="176">
        <f t="shared" si="8"/>
        <v>-0.000000002507526208</v>
      </c>
      <c r="F148" s="408">
        <f t="shared" si="14"/>
        <v>16306617.46</v>
      </c>
      <c r="G148" s="408">
        <f t="shared" si="15"/>
        <v>30373143.87</v>
      </c>
      <c r="H148" s="410">
        <f t="shared" si="16"/>
        <v>0.0275</v>
      </c>
      <c r="I148" s="1">
        <f t="shared" si="1"/>
        <v>137</v>
      </c>
      <c r="J148" s="406">
        <f t="shared" si="17"/>
        <v>48335</v>
      </c>
      <c r="K148" s="105">
        <f t="shared" si="9"/>
        <v>12</v>
      </c>
      <c r="L148" s="411">
        <f t="shared" si="10"/>
        <v>0</v>
      </c>
      <c r="M148" s="407">
        <f t="shared" si="2"/>
        <v>0</v>
      </c>
      <c r="N148" s="407">
        <f t="shared" si="3"/>
        <v>0</v>
      </c>
      <c r="O148" s="407">
        <f t="shared" si="4"/>
        <v>-0.000000002507526208</v>
      </c>
      <c r="P148" s="368" t="str">
        <f>IF(AND(K148&gt;K147,K148-2+1='Pro Forma Detail'!D$66),E145,)</f>
        <v/>
      </c>
      <c r="Q148" s="369" t="str">
        <f t="shared" si="11"/>
        <v/>
      </c>
      <c r="R148" s="370">
        <f t="shared" si="12"/>
        <v>0</v>
      </c>
      <c r="S148" s="370">
        <f t="shared" si="13"/>
        <v>0</v>
      </c>
      <c r="T148" s="1"/>
    </row>
    <row r="149" ht="12.75" customHeight="1">
      <c r="A149" s="1">
        <v>138.0</v>
      </c>
      <c r="B149" s="408">
        <f t="shared" si="5"/>
        <v>0</v>
      </c>
      <c r="C149" s="408">
        <f t="shared" si="6"/>
        <v>0</v>
      </c>
      <c r="D149" s="409">
        <f t="shared" si="7"/>
        <v>0</v>
      </c>
      <c r="E149" s="176">
        <f t="shared" si="8"/>
        <v>-0.000000002498898637</v>
      </c>
      <c r="F149" s="408">
        <f t="shared" si="14"/>
        <v>16306617.46</v>
      </c>
      <c r="G149" s="408">
        <f t="shared" si="15"/>
        <v>30373143.87</v>
      </c>
      <c r="H149" s="410">
        <f t="shared" si="16"/>
        <v>0.0275</v>
      </c>
      <c r="I149" s="1">
        <f t="shared" si="1"/>
        <v>138</v>
      </c>
      <c r="J149" s="406">
        <f t="shared" si="17"/>
        <v>48366</v>
      </c>
      <c r="K149" s="105">
        <f t="shared" si="9"/>
        <v>12</v>
      </c>
      <c r="L149" s="411">
        <f t="shared" si="10"/>
        <v>0</v>
      </c>
      <c r="M149" s="407">
        <f t="shared" si="2"/>
        <v>0</v>
      </c>
      <c r="N149" s="407">
        <f t="shared" si="3"/>
        <v>0</v>
      </c>
      <c r="O149" s="407">
        <f t="shared" si="4"/>
        <v>-0.000000002498898637</v>
      </c>
      <c r="P149" s="368" t="str">
        <f>IF(AND(K149&gt;K148,K149-2+1='Pro Forma Detail'!D$66),E146,)</f>
        <v/>
      </c>
      <c r="Q149" s="369" t="str">
        <f t="shared" si="11"/>
        <v/>
      </c>
      <c r="R149" s="370">
        <f t="shared" si="12"/>
        <v>0</v>
      </c>
      <c r="S149" s="370">
        <f t="shared" si="13"/>
        <v>0</v>
      </c>
      <c r="T149" s="1"/>
    </row>
    <row r="150" ht="12.75" customHeight="1">
      <c r="A150" s="1">
        <v>139.0</v>
      </c>
      <c r="B150" s="408">
        <f t="shared" si="5"/>
        <v>0</v>
      </c>
      <c r="C150" s="408">
        <f t="shared" si="6"/>
        <v>0</v>
      </c>
      <c r="D150" s="409">
        <f t="shared" si="7"/>
        <v>0</v>
      </c>
      <c r="E150" s="176">
        <f t="shared" si="8"/>
        <v>-0.000000002490251295</v>
      </c>
      <c r="F150" s="408">
        <f t="shared" si="14"/>
        <v>16306617.46</v>
      </c>
      <c r="G150" s="408">
        <f t="shared" si="15"/>
        <v>30373143.87</v>
      </c>
      <c r="H150" s="410">
        <f t="shared" si="16"/>
        <v>0.0275</v>
      </c>
      <c r="I150" s="1">
        <f t="shared" si="1"/>
        <v>139</v>
      </c>
      <c r="J150" s="406">
        <f t="shared" si="17"/>
        <v>48396</v>
      </c>
      <c r="K150" s="105">
        <f t="shared" si="9"/>
        <v>12</v>
      </c>
      <c r="L150" s="411">
        <f t="shared" si="10"/>
        <v>0</v>
      </c>
      <c r="M150" s="407">
        <f t="shared" si="2"/>
        <v>0</v>
      </c>
      <c r="N150" s="407">
        <f t="shared" si="3"/>
        <v>0</v>
      </c>
      <c r="O150" s="407">
        <f t="shared" si="4"/>
        <v>-0.000000002490251295</v>
      </c>
      <c r="P150" s="368" t="str">
        <f>IF(AND(K150&gt;K149,K150-2+1='Pro Forma Detail'!D$66),E147,)</f>
        <v/>
      </c>
      <c r="Q150" s="369" t="str">
        <f t="shared" si="11"/>
        <v/>
      </c>
      <c r="R150" s="370">
        <f t="shared" si="12"/>
        <v>0</v>
      </c>
      <c r="S150" s="370">
        <f t="shared" si="13"/>
        <v>0</v>
      </c>
      <c r="T150" s="1"/>
    </row>
    <row r="151" ht="12.75" customHeight="1">
      <c r="A151" s="1">
        <v>140.0</v>
      </c>
      <c r="B151" s="408">
        <f t="shared" si="5"/>
        <v>0</v>
      </c>
      <c r="C151" s="408">
        <f t="shared" si="6"/>
        <v>0</v>
      </c>
      <c r="D151" s="409">
        <f t="shared" si="7"/>
        <v>0</v>
      </c>
      <c r="E151" s="176">
        <f t="shared" si="8"/>
        <v>-0.000000002481584135</v>
      </c>
      <c r="F151" s="408">
        <f t="shared" si="14"/>
        <v>16306617.46</v>
      </c>
      <c r="G151" s="408">
        <f t="shared" si="15"/>
        <v>30373143.87</v>
      </c>
      <c r="H151" s="410">
        <f t="shared" si="16"/>
        <v>0.0275</v>
      </c>
      <c r="I151" s="1">
        <f t="shared" si="1"/>
        <v>140</v>
      </c>
      <c r="J151" s="406">
        <f t="shared" si="17"/>
        <v>48427</v>
      </c>
      <c r="K151" s="105">
        <f t="shared" si="9"/>
        <v>12</v>
      </c>
      <c r="L151" s="411">
        <f t="shared" si="10"/>
        <v>0</v>
      </c>
      <c r="M151" s="407">
        <f t="shared" si="2"/>
        <v>0</v>
      </c>
      <c r="N151" s="407">
        <f t="shared" si="3"/>
        <v>0</v>
      </c>
      <c r="O151" s="407">
        <f t="shared" si="4"/>
        <v>-0.000000002481584135</v>
      </c>
      <c r="P151" s="368" t="str">
        <f>IF(AND(K151&gt;K150,K151-2+1='Pro Forma Detail'!D$66),E148,)</f>
        <v/>
      </c>
      <c r="Q151" s="369" t="str">
        <f t="shared" si="11"/>
        <v/>
      </c>
      <c r="R151" s="370">
        <f t="shared" si="12"/>
        <v>0</v>
      </c>
      <c r="S151" s="370">
        <f t="shared" si="13"/>
        <v>0</v>
      </c>
      <c r="T151" s="1"/>
    </row>
    <row r="152" ht="12.75" customHeight="1">
      <c r="A152" s="1">
        <v>141.0</v>
      </c>
      <c r="B152" s="408">
        <f t="shared" si="5"/>
        <v>0</v>
      </c>
      <c r="C152" s="408">
        <f t="shared" si="6"/>
        <v>0</v>
      </c>
      <c r="D152" s="409">
        <f t="shared" si="7"/>
        <v>0</v>
      </c>
      <c r="E152" s="176">
        <f t="shared" si="8"/>
        <v>-0.000000002472897114</v>
      </c>
      <c r="F152" s="408">
        <f t="shared" si="14"/>
        <v>16306617.46</v>
      </c>
      <c r="G152" s="408">
        <f t="shared" si="15"/>
        <v>30373143.87</v>
      </c>
      <c r="H152" s="410">
        <f t="shared" si="16"/>
        <v>0.0275</v>
      </c>
      <c r="I152" s="1">
        <f t="shared" si="1"/>
        <v>141</v>
      </c>
      <c r="J152" s="406">
        <f t="shared" si="17"/>
        <v>48458</v>
      </c>
      <c r="K152" s="105">
        <f t="shared" si="9"/>
        <v>12</v>
      </c>
      <c r="L152" s="411">
        <f t="shared" si="10"/>
        <v>0</v>
      </c>
      <c r="M152" s="407">
        <f t="shared" si="2"/>
        <v>0</v>
      </c>
      <c r="N152" s="407">
        <f t="shared" si="3"/>
        <v>0</v>
      </c>
      <c r="O152" s="407">
        <f t="shared" si="4"/>
        <v>-0.000000002472897114</v>
      </c>
      <c r="P152" s="368" t="str">
        <f>IF(AND(K152&gt;K151,K152-2+1='Pro Forma Detail'!D$66),E149,)</f>
        <v/>
      </c>
      <c r="Q152" s="369" t="str">
        <f t="shared" si="11"/>
        <v/>
      </c>
      <c r="R152" s="370">
        <f t="shared" si="12"/>
        <v>0</v>
      </c>
      <c r="S152" s="370">
        <f t="shared" si="13"/>
        <v>0</v>
      </c>
      <c r="T152" s="1"/>
    </row>
    <row r="153" ht="12.75" customHeight="1">
      <c r="A153" s="1">
        <v>142.0</v>
      </c>
      <c r="B153" s="408">
        <f t="shared" si="5"/>
        <v>0</v>
      </c>
      <c r="C153" s="408">
        <f t="shared" si="6"/>
        <v>0</v>
      </c>
      <c r="D153" s="409">
        <f t="shared" si="7"/>
        <v>0</v>
      </c>
      <c r="E153" s="176">
        <f t="shared" si="8"/>
        <v>-0.000000002464190185</v>
      </c>
      <c r="F153" s="408">
        <f t="shared" si="14"/>
        <v>16306617.46</v>
      </c>
      <c r="G153" s="408">
        <f t="shared" si="15"/>
        <v>30373143.87</v>
      </c>
      <c r="H153" s="410">
        <f t="shared" si="16"/>
        <v>0.0275</v>
      </c>
      <c r="I153" s="1">
        <f t="shared" si="1"/>
        <v>142</v>
      </c>
      <c r="J153" s="406">
        <f t="shared" si="17"/>
        <v>48488</v>
      </c>
      <c r="K153" s="105">
        <f t="shared" si="9"/>
        <v>12</v>
      </c>
      <c r="L153" s="411">
        <f t="shared" si="10"/>
        <v>0</v>
      </c>
      <c r="M153" s="407">
        <f t="shared" si="2"/>
        <v>0</v>
      </c>
      <c r="N153" s="407">
        <f t="shared" si="3"/>
        <v>0</v>
      </c>
      <c r="O153" s="407">
        <f t="shared" si="4"/>
        <v>-0.000000002464190185</v>
      </c>
      <c r="P153" s="368" t="str">
        <f>IF(AND(K153&gt;K152,K153-2+1='Pro Forma Detail'!D$66),E150,)</f>
        <v/>
      </c>
      <c r="Q153" s="369" t="str">
        <f t="shared" si="11"/>
        <v/>
      </c>
      <c r="R153" s="370">
        <f t="shared" si="12"/>
        <v>0</v>
      </c>
      <c r="S153" s="370">
        <f t="shared" si="13"/>
        <v>0</v>
      </c>
      <c r="T153" s="1"/>
    </row>
    <row r="154" ht="12.75" customHeight="1">
      <c r="A154" s="1">
        <v>143.0</v>
      </c>
      <c r="B154" s="408">
        <f t="shared" si="5"/>
        <v>0</v>
      </c>
      <c r="C154" s="408">
        <f t="shared" si="6"/>
        <v>0</v>
      </c>
      <c r="D154" s="409">
        <f t="shared" si="7"/>
        <v>0</v>
      </c>
      <c r="E154" s="176">
        <f t="shared" si="8"/>
        <v>-0.000000002455463302</v>
      </c>
      <c r="F154" s="408">
        <f t="shared" si="14"/>
        <v>16306617.46</v>
      </c>
      <c r="G154" s="408">
        <f t="shared" si="15"/>
        <v>30373143.87</v>
      </c>
      <c r="H154" s="410">
        <f t="shared" si="16"/>
        <v>0.0275</v>
      </c>
      <c r="I154" s="1">
        <f t="shared" si="1"/>
        <v>143</v>
      </c>
      <c r="J154" s="406">
        <f t="shared" si="17"/>
        <v>48519</v>
      </c>
      <c r="K154" s="105">
        <f t="shared" si="9"/>
        <v>12</v>
      </c>
      <c r="L154" s="411">
        <f t="shared" si="10"/>
        <v>0</v>
      </c>
      <c r="M154" s="407">
        <f t="shared" si="2"/>
        <v>0</v>
      </c>
      <c r="N154" s="407">
        <f t="shared" si="3"/>
        <v>0</v>
      </c>
      <c r="O154" s="407">
        <f t="shared" si="4"/>
        <v>-0.000000002455463302</v>
      </c>
      <c r="P154" s="368" t="str">
        <f>IF(AND(K154&gt;K153,K154-2+1='Pro Forma Detail'!D$66),E151,)</f>
        <v/>
      </c>
      <c r="Q154" s="369" t="str">
        <f t="shared" si="11"/>
        <v/>
      </c>
      <c r="R154" s="370">
        <f t="shared" si="12"/>
        <v>0</v>
      </c>
      <c r="S154" s="370">
        <f t="shared" si="13"/>
        <v>0</v>
      </c>
      <c r="T154" s="1"/>
    </row>
    <row r="155" ht="12.75" customHeight="1">
      <c r="A155" s="1">
        <v>144.0</v>
      </c>
      <c r="B155" s="408">
        <f t="shared" si="5"/>
        <v>0</v>
      </c>
      <c r="C155" s="408">
        <f t="shared" si="6"/>
        <v>0</v>
      </c>
      <c r="D155" s="409">
        <f t="shared" si="7"/>
        <v>0</v>
      </c>
      <c r="E155" s="176">
        <f t="shared" si="8"/>
        <v>-0.00000000244671642</v>
      </c>
      <c r="F155" s="408">
        <f t="shared" si="14"/>
        <v>16306617.46</v>
      </c>
      <c r="G155" s="408">
        <f t="shared" si="15"/>
        <v>30373143.87</v>
      </c>
      <c r="H155" s="410">
        <f t="shared" si="16"/>
        <v>0.0275</v>
      </c>
      <c r="I155" s="1">
        <f t="shared" si="1"/>
        <v>144</v>
      </c>
      <c r="J155" s="406">
        <f t="shared" si="17"/>
        <v>48549</v>
      </c>
      <c r="K155" s="105">
        <f t="shared" si="9"/>
        <v>12</v>
      </c>
      <c r="L155" s="411">
        <f t="shared" si="10"/>
        <v>0</v>
      </c>
      <c r="M155" s="407">
        <f t="shared" si="2"/>
        <v>0</v>
      </c>
      <c r="N155" s="407">
        <f t="shared" si="3"/>
        <v>0</v>
      </c>
      <c r="O155" s="407">
        <f t="shared" si="4"/>
        <v>-0.00000000244671642</v>
      </c>
      <c r="P155" s="368" t="str">
        <f>IF(AND(K155&gt;K154,K155-2+1='Pro Forma Detail'!D$66),E152,)</f>
        <v/>
      </c>
      <c r="Q155" s="369" t="str">
        <f t="shared" si="11"/>
        <v/>
      </c>
      <c r="R155" s="370">
        <f t="shared" si="12"/>
        <v>0</v>
      </c>
      <c r="S155" s="370">
        <f t="shared" si="13"/>
        <v>0</v>
      </c>
      <c r="T155" s="1"/>
    </row>
    <row r="156" ht="12.75" customHeight="1">
      <c r="A156" s="1">
        <v>145.0</v>
      </c>
      <c r="B156" s="408">
        <f t="shared" si="5"/>
        <v>0</v>
      </c>
      <c r="C156" s="408">
        <f t="shared" si="6"/>
        <v>0</v>
      </c>
      <c r="D156" s="409">
        <f t="shared" si="7"/>
        <v>0</v>
      </c>
      <c r="E156" s="176">
        <f t="shared" si="8"/>
        <v>-0.000000002437949494</v>
      </c>
      <c r="F156" s="408">
        <f t="shared" si="14"/>
        <v>16306617.46</v>
      </c>
      <c r="G156" s="408">
        <f t="shared" si="15"/>
        <v>30373143.87</v>
      </c>
      <c r="H156" s="410">
        <f t="shared" si="16"/>
        <v>0.0275</v>
      </c>
      <c r="I156" s="1">
        <f t="shared" si="1"/>
        <v>145</v>
      </c>
      <c r="J156" s="406">
        <f t="shared" si="17"/>
        <v>48580</v>
      </c>
      <c r="K156" s="105">
        <f t="shared" si="9"/>
        <v>13</v>
      </c>
      <c r="L156" s="411">
        <f t="shared" si="10"/>
        <v>0</v>
      </c>
      <c r="M156" s="407">
        <f t="shared" si="2"/>
        <v>0</v>
      </c>
      <c r="N156" s="407">
        <f t="shared" si="3"/>
        <v>0</v>
      </c>
      <c r="O156" s="407">
        <f t="shared" si="4"/>
        <v>-0.000000002437949494</v>
      </c>
      <c r="P156" s="368" t="str">
        <f>IF(AND(K156&gt;K155,K156-2+1='Pro Forma Detail'!D$66),E153,)</f>
        <v/>
      </c>
      <c r="Q156" s="369" t="str">
        <f t="shared" si="11"/>
        <v/>
      </c>
      <c r="R156" s="370">
        <f t="shared" si="12"/>
        <v>0</v>
      </c>
      <c r="S156" s="370">
        <f t="shared" si="13"/>
        <v>0</v>
      </c>
      <c r="T156" s="1"/>
    </row>
    <row r="157" ht="12.75" customHeight="1">
      <c r="A157" s="1">
        <v>146.0</v>
      </c>
      <c r="B157" s="408">
        <f t="shared" si="5"/>
        <v>0</v>
      </c>
      <c r="C157" s="408">
        <f t="shared" si="6"/>
        <v>0</v>
      </c>
      <c r="D157" s="409">
        <f t="shared" si="7"/>
        <v>0</v>
      </c>
      <c r="E157" s="176">
        <f t="shared" si="8"/>
        <v>-0.000000002429162476</v>
      </c>
      <c r="F157" s="408">
        <f t="shared" si="14"/>
        <v>16306617.46</v>
      </c>
      <c r="G157" s="408">
        <f t="shared" si="15"/>
        <v>30373143.87</v>
      </c>
      <c r="H157" s="410">
        <f t="shared" si="16"/>
        <v>0.0275</v>
      </c>
      <c r="I157" s="1">
        <f t="shared" si="1"/>
        <v>146</v>
      </c>
      <c r="J157" s="406">
        <f t="shared" si="17"/>
        <v>48611</v>
      </c>
      <c r="K157" s="105">
        <f t="shared" si="9"/>
        <v>13</v>
      </c>
      <c r="L157" s="411">
        <f t="shared" si="10"/>
        <v>0</v>
      </c>
      <c r="M157" s="407">
        <f t="shared" si="2"/>
        <v>0</v>
      </c>
      <c r="N157" s="407">
        <f t="shared" si="3"/>
        <v>0</v>
      </c>
      <c r="O157" s="407">
        <f t="shared" si="4"/>
        <v>-0.000000002429162476</v>
      </c>
      <c r="P157" s="368" t="str">
        <f>IF(AND(K157&gt;K156,K157-2+1='Pro Forma Detail'!D$66),E154,)</f>
        <v/>
      </c>
      <c r="Q157" s="369" t="str">
        <f t="shared" si="11"/>
        <v/>
      </c>
      <c r="R157" s="370">
        <f t="shared" si="12"/>
        <v>0</v>
      </c>
      <c r="S157" s="370">
        <f t="shared" si="13"/>
        <v>0</v>
      </c>
      <c r="T157" s="1"/>
    </row>
    <row r="158" ht="12.75" customHeight="1">
      <c r="A158" s="1">
        <v>147.0</v>
      </c>
      <c r="B158" s="408">
        <f t="shared" si="5"/>
        <v>0</v>
      </c>
      <c r="C158" s="408">
        <f t="shared" si="6"/>
        <v>0</v>
      </c>
      <c r="D158" s="409">
        <f t="shared" si="7"/>
        <v>0</v>
      </c>
      <c r="E158" s="176">
        <f t="shared" si="8"/>
        <v>-0.000000002420355322</v>
      </c>
      <c r="F158" s="408">
        <f t="shared" si="14"/>
        <v>16306617.46</v>
      </c>
      <c r="G158" s="408">
        <f t="shared" si="15"/>
        <v>30373143.87</v>
      </c>
      <c r="H158" s="410">
        <f t="shared" si="16"/>
        <v>0.0275</v>
      </c>
      <c r="I158" s="1">
        <f t="shared" si="1"/>
        <v>147</v>
      </c>
      <c r="J158" s="406">
        <f t="shared" si="17"/>
        <v>48639</v>
      </c>
      <c r="K158" s="105">
        <f t="shared" si="9"/>
        <v>13</v>
      </c>
      <c r="L158" s="411">
        <f t="shared" si="10"/>
        <v>0</v>
      </c>
      <c r="M158" s="407">
        <f t="shared" si="2"/>
        <v>0</v>
      </c>
      <c r="N158" s="407">
        <f t="shared" si="3"/>
        <v>0</v>
      </c>
      <c r="O158" s="407">
        <f t="shared" si="4"/>
        <v>-0.000000002420355322</v>
      </c>
      <c r="P158" s="368" t="str">
        <f>IF(AND(K158&gt;K157,K158-2+1='Pro Forma Detail'!D$66),E155,)</f>
        <v/>
      </c>
      <c r="Q158" s="369" t="str">
        <f t="shared" si="11"/>
        <v/>
      </c>
      <c r="R158" s="370">
        <f t="shared" si="12"/>
        <v>0</v>
      </c>
      <c r="S158" s="370">
        <f t="shared" si="13"/>
        <v>0</v>
      </c>
      <c r="T158" s="1"/>
    </row>
    <row r="159" ht="12.75" customHeight="1">
      <c r="A159" s="1">
        <v>148.0</v>
      </c>
      <c r="B159" s="408">
        <f t="shared" si="5"/>
        <v>0</v>
      </c>
      <c r="C159" s="408">
        <f t="shared" si="6"/>
        <v>0</v>
      </c>
      <c r="D159" s="409">
        <f t="shared" si="7"/>
        <v>0</v>
      </c>
      <c r="E159" s="176">
        <f t="shared" si="8"/>
        <v>-0.000000002411527984</v>
      </c>
      <c r="F159" s="408">
        <f t="shared" si="14"/>
        <v>16306617.46</v>
      </c>
      <c r="G159" s="408">
        <f t="shared" si="15"/>
        <v>30373143.87</v>
      </c>
      <c r="H159" s="410">
        <f t="shared" si="16"/>
        <v>0.0275</v>
      </c>
      <c r="I159" s="1">
        <f t="shared" si="1"/>
        <v>148</v>
      </c>
      <c r="J159" s="406">
        <f t="shared" si="17"/>
        <v>48670</v>
      </c>
      <c r="K159" s="105">
        <f t="shared" si="9"/>
        <v>13</v>
      </c>
      <c r="L159" s="411">
        <f t="shared" si="10"/>
        <v>0</v>
      </c>
      <c r="M159" s="407">
        <f t="shared" si="2"/>
        <v>0</v>
      </c>
      <c r="N159" s="407">
        <f t="shared" si="3"/>
        <v>0</v>
      </c>
      <c r="O159" s="407">
        <f t="shared" si="4"/>
        <v>-0.000000002411527984</v>
      </c>
      <c r="P159" s="368" t="str">
        <f>IF(AND(K159&gt;K158,K159-2+1='Pro Forma Detail'!D$66),E156,)</f>
        <v/>
      </c>
      <c r="Q159" s="369" t="str">
        <f t="shared" si="11"/>
        <v/>
      </c>
      <c r="R159" s="370">
        <f t="shared" si="12"/>
        <v>0</v>
      </c>
      <c r="S159" s="370">
        <f t="shared" si="13"/>
        <v>0</v>
      </c>
      <c r="T159" s="1"/>
    </row>
    <row r="160" ht="12.75" customHeight="1">
      <c r="A160" s="1">
        <v>149.0</v>
      </c>
      <c r="B160" s="408">
        <f t="shared" si="5"/>
        <v>0</v>
      </c>
      <c r="C160" s="408">
        <f t="shared" si="6"/>
        <v>0</v>
      </c>
      <c r="D160" s="409">
        <f t="shared" si="7"/>
        <v>0</v>
      </c>
      <c r="E160" s="176">
        <f t="shared" si="8"/>
        <v>-0.000000002402680417</v>
      </c>
      <c r="F160" s="408">
        <f t="shared" si="14"/>
        <v>16306617.46</v>
      </c>
      <c r="G160" s="408">
        <f t="shared" si="15"/>
        <v>30373143.87</v>
      </c>
      <c r="H160" s="410">
        <f t="shared" si="16"/>
        <v>0.0275</v>
      </c>
      <c r="I160" s="1">
        <f t="shared" si="1"/>
        <v>149</v>
      </c>
      <c r="J160" s="406">
        <f t="shared" si="17"/>
        <v>48700</v>
      </c>
      <c r="K160" s="105">
        <f t="shared" si="9"/>
        <v>13</v>
      </c>
      <c r="L160" s="411">
        <f t="shared" si="10"/>
        <v>0</v>
      </c>
      <c r="M160" s="407">
        <f t="shared" si="2"/>
        <v>0</v>
      </c>
      <c r="N160" s="407">
        <f t="shared" si="3"/>
        <v>0</v>
      </c>
      <c r="O160" s="407">
        <f t="shared" si="4"/>
        <v>-0.000000002402680417</v>
      </c>
      <c r="P160" s="368" t="str">
        <f>IF(AND(K160&gt;K159,K160-2+1='Pro Forma Detail'!D$66),E157,)</f>
        <v/>
      </c>
      <c r="Q160" s="369" t="str">
        <f t="shared" si="11"/>
        <v/>
      </c>
      <c r="R160" s="370">
        <f t="shared" si="12"/>
        <v>0</v>
      </c>
      <c r="S160" s="370">
        <f t="shared" si="13"/>
        <v>0</v>
      </c>
      <c r="T160" s="1"/>
    </row>
    <row r="161" ht="12.75" customHeight="1">
      <c r="A161" s="1">
        <v>150.0</v>
      </c>
      <c r="B161" s="408">
        <f t="shared" si="5"/>
        <v>0</v>
      </c>
      <c r="C161" s="408">
        <f t="shared" si="6"/>
        <v>0</v>
      </c>
      <c r="D161" s="409">
        <f t="shared" si="7"/>
        <v>0</v>
      </c>
      <c r="E161" s="176">
        <f t="shared" si="8"/>
        <v>-0.000000002393812575</v>
      </c>
      <c r="F161" s="408">
        <f t="shared" si="14"/>
        <v>16306617.46</v>
      </c>
      <c r="G161" s="408">
        <f t="shared" si="15"/>
        <v>30373143.87</v>
      </c>
      <c r="H161" s="410">
        <f t="shared" si="16"/>
        <v>0.0275</v>
      </c>
      <c r="I161" s="1">
        <f t="shared" si="1"/>
        <v>150</v>
      </c>
      <c r="J161" s="406">
        <f t="shared" si="17"/>
        <v>48731</v>
      </c>
      <c r="K161" s="105">
        <f t="shared" si="9"/>
        <v>13</v>
      </c>
      <c r="L161" s="411">
        <f t="shared" si="10"/>
        <v>0</v>
      </c>
      <c r="M161" s="407">
        <f t="shared" si="2"/>
        <v>0</v>
      </c>
      <c r="N161" s="407">
        <f t="shared" si="3"/>
        <v>0</v>
      </c>
      <c r="O161" s="407">
        <f t="shared" si="4"/>
        <v>-0.000000002393812575</v>
      </c>
      <c r="P161" s="368" t="str">
        <f>IF(AND(K161&gt;K160,K161-2+1='Pro Forma Detail'!D$66),E158,)</f>
        <v/>
      </c>
      <c r="Q161" s="369" t="str">
        <f t="shared" si="11"/>
        <v/>
      </c>
      <c r="R161" s="370">
        <f t="shared" si="12"/>
        <v>0</v>
      </c>
      <c r="S161" s="370">
        <f t="shared" si="13"/>
        <v>0</v>
      </c>
      <c r="T161" s="1"/>
    </row>
    <row r="162" ht="12.75" customHeight="1">
      <c r="A162" s="1">
        <v>151.0</v>
      </c>
      <c r="B162" s="408">
        <f t="shared" si="5"/>
        <v>0</v>
      </c>
      <c r="C162" s="408">
        <f t="shared" si="6"/>
        <v>0</v>
      </c>
      <c r="D162" s="409">
        <f t="shared" si="7"/>
        <v>0</v>
      </c>
      <c r="E162" s="176">
        <f t="shared" si="8"/>
        <v>-0.00000000238492441</v>
      </c>
      <c r="F162" s="408">
        <f t="shared" si="14"/>
        <v>16306617.46</v>
      </c>
      <c r="G162" s="408">
        <f t="shared" si="15"/>
        <v>30373143.87</v>
      </c>
      <c r="H162" s="410">
        <f t="shared" si="16"/>
        <v>0.0275</v>
      </c>
      <c r="I162" s="1">
        <f t="shared" si="1"/>
        <v>151</v>
      </c>
      <c r="J162" s="406">
        <f t="shared" si="17"/>
        <v>48761</v>
      </c>
      <c r="K162" s="105">
        <f t="shared" si="9"/>
        <v>13</v>
      </c>
      <c r="L162" s="411">
        <f t="shared" si="10"/>
        <v>0</v>
      </c>
      <c r="M162" s="407">
        <f t="shared" si="2"/>
        <v>0</v>
      </c>
      <c r="N162" s="407">
        <f t="shared" si="3"/>
        <v>0</v>
      </c>
      <c r="O162" s="407">
        <f t="shared" si="4"/>
        <v>-0.00000000238492441</v>
      </c>
      <c r="P162" s="368" t="str">
        <f>IF(AND(K162&gt;K161,K162-2+1='Pro Forma Detail'!D$66),E159,)</f>
        <v/>
      </c>
      <c r="Q162" s="369" t="str">
        <f t="shared" si="11"/>
        <v/>
      </c>
      <c r="R162" s="370">
        <f t="shared" si="12"/>
        <v>0</v>
      </c>
      <c r="S162" s="370">
        <f t="shared" si="13"/>
        <v>0</v>
      </c>
      <c r="T162" s="1"/>
    </row>
    <row r="163" ht="12.75" customHeight="1">
      <c r="A163" s="1">
        <v>152.0</v>
      </c>
      <c r="B163" s="408">
        <f t="shared" si="5"/>
        <v>0</v>
      </c>
      <c r="C163" s="408">
        <f t="shared" si="6"/>
        <v>0</v>
      </c>
      <c r="D163" s="409">
        <f t="shared" si="7"/>
        <v>0</v>
      </c>
      <c r="E163" s="176">
        <f t="shared" si="8"/>
        <v>-0.000000002376015877</v>
      </c>
      <c r="F163" s="408">
        <f t="shared" si="14"/>
        <v>16306617.46</v>
      </c>
      <c r="G163" s="408">
        <f t="shared" si="15"/>
        <v>30373143.87</v>
      </c>
      <c r="H163" s="410">
        <f t="shared" si="16"/>
        <v>0.0275</v>
      </c>
      <c r="I163" s="1">
        <f t="shared" si="1"/>
        <v>152</v>
      </c>
      <c r="J163" s="406">
        <f t="shared" si="17"/>
        <v>48792</v>
      </c>
      <c r="K163" s="105">
        <f t="shared" si="9"/>
        <v>13</v>
      </c>
      <c r="L163" s="411">
        <f t="shared" si="10"/>
        <v>0</v>
      </c>
      <c r="M163" s="407">
        <f t="shared" si="2"/>
        <v>0</v>
      </c>
      <c r="N163" s="407">
        <f t="shared" si="3"/>
        <v>0</v>
      </c>
      <c r="O163" s="407">
        <f t="shared" si="4"/>
        <v>-0.000000002376015877</v>
      </c>
      <c r="P163" s="368" t="str">
        <f>IF(AND(K163&gt;K162,K163-2+1='Pro Forma Detail'!D$66),E160,)</f>
        <v/>
      </c>
      <c r="Q163" s="369" t="str">
        <f t="shared" si="11"/>
        <v/>
      </c>
      <c r="R163" s="370">
        <f t="shared" si="12"/>
        <v>0</v>
      </c>
      <c r="S163" s="370">
        <f t="shared" si="13"/>
        <v>0</v>
      </c>
      <c r="T163" s="1"/>
    </row>
    <row r="164" ht="12.75" customHeight="1">
      <c r="A164" s="1">
        <v>153.0</v>
      </c>
      <c r="B164" s="408">
        <f t="shared" si="5"/>
        <v>0</v>
      </c>
      <c r="C164" s="408">
        <f t="shared" si="6"/>
        <v>0</v>
      </c>
      <c r="D164" s="409">
        <f t="shared" si="7"/>
        <v>0</v>
      </c>
      <c r="E164" s="176">
        <f t="shared" si="8"/>
        <v>-0.000000002367086928</v>
      </c>
      <c r="F164" s="408">
        <f t="shared" si="14"/>
        <v>16306617.46</v>
      </c>
      <c r="G164" s="408">
        <f t="shared" si="15"/>
        <v>30373143.87</v>
      </c>
      <c r="H164" s="410">
        <f t="shared" si="16"/>
        <v>0.0275</v>
      </c>
      <c r="I164" s="1">
        <f t="shared" si="1"/>
        <v>153</v>
      </c>
      <c r="J164" s="406">
        <f t="shared" si="17"/>
        <v>48823</v>
      </c>
      <c r="K164" s="105">
        <f t="shared" si="9"/>
        <v>13</v>
      </c>
      <c r="L164" s="411">
        <f t="shared" si="10"/>
        <v>0</v>
      </c>
      <c r="M164" s="407">
        <f t="shared" si="2"/>
        <v>0</v>
      </c>
      <c r="N164" s="407">
        <f t="shared" si="3"/>
        <v>0</v>
      </c>
      <c r="O164" s="407">
        <f t="shared" si="4"/>
        <v>-0.000000002367086928</v>
      </c>
      <c r="P164" s="368" t="str">
        <f>IF(AND(K164&gt;K163,K164-2+1='Pro Forma Detail'!D$66),E161,)</f>
        <v/>
      </c>
      <c r="Q164" s="369" t="str">
        <f t="shared" si="11"/>
        <v/>
      </c>
      <c r="R164" s="370">
        <f t="shared" si="12"/>
        <v>0</v>
      </c>
      <c r="S164" s="370">
        <f t="shared" si="13"/>
        <v>0</v>
      </c>
      <c r="T164" s="1"/>
    </row>
    <row r="165" ht="12.75" customHeight="1">
      <c r="A165" s="1">
        <v>154.0</v>
      </c>
      <c r="B165" s="408">
        <f t="shared" si="5"/>
        <v>0</v>
      </c>
      <c r="C165" s="408">
        <f t="shared" si="6"/>
        <v>0</v>
      </c>
      <c r="D165" s="409">
        <f t="shared" si="7"/>
        <v>0</v>
      </c>
      <c r="E165" s="176">
        <f t="shared" si="8"/>
        <v>-0.000000002358137517</v>
      </c>
      <c r="F165" s="408">
        <f t="shared" si="14"/>
        <v>16306617.46</v>
      </c>
      <c r="G165" s="408">
        <f t="shared" si="15"/>
        <v>30373143.87</v>
      </c>
      <c r="H165" s="410">
        <f t="shared" si="16"/>
        <v>0.0275</v>
      </c>
      <c r="I165" s="1">
        <f t="shared" si="1"/>
        <v>154</v>
      </c>
      <c r="J165" s="406">
        <f t="shared" si="17"/>
        <v>48853</v>
      </c>
      <c r="K165" s="105">
        <f t="shared" si="9"/>
        <v>13</v>
      </c>
      <c r="L165" s="411">
        <f t="shared" si="10"/>
        <v>0</v>
      </c>
      <c r="M165" s="407">
        <f t="shared" si="2"/>
        <v>0</v>
      </c>
      <c r="N165" s="407">
        <f t="shared" si="3"/>
        <v>0</v>
      </c>
      <c r="O165" s="407">
        <f t="shared" si="4"/>
        <v>-0.000000002358137517</v>
      </c>
      <c r="P165" s="368" t="str">
        <f>IF(AND(K165&gt;K164,K165-2+1='Pro Forma Detail'!D$66),E162,)</f>
        <v/>
      </c>
      <c r="Q165" s="369" t="str">
        <f t="shared" si="11"/>
        <v/>
      </c>
      <c r="R165" s="370">
        <f t="shared" si="12"/>
        <v>0</v>
      </c>
      <c r="S165" s="370">
        <f t="shared" si="13"/>
        <v>0</v>
      </c>
      <c r="T165" s="1"/>
    </row>
    <row r="166" ht="12.75" customHeight="1">
      <c r="A166" s="1">
        <v>155.0</v>
      </c>
      <c r="B166" s="408">
        <f t="shared" si="5"/>
        <v>0</v>
      </c>
      <c r="C166" s="408">
        <f t="shared" si="6"/>
        <v>0</v>
      </c>
      <c r="D166" s="409">
        <f t="shared" si="7"/>
        <v>0</v>
      </c>
      <c r="E166" s="176">
        <f t="shared" si="8"/>
        <v>-0.000000002349167597</v>
      </c>
      <c r="F166" s="408">
        <f t="shared" si="14"/>
        <v>16306617.46</v>
      </c>
      <c r="G166" s="408">
        <f t="shared" si="15"/>
        <v>30373143.87</v>
      </c>
      <c r="H166" s="410">
        <f t="shared" si="16"/>
        <v>0.0275</v>
      </c>
      <c r="I166" s="1">
        <f t="shared" si="1"/>
        <v>155</v>
      </c>
      <c r="J166" s="406">
        <f t="shared" si="17"/>
        <v>48884</v>
      </c>
      <c r="K166" s="105">
        <f t="shared" si="9"/>
        <v>13</v>
      </c>
      <c r="L166" s="411">
        <f t="shared" si="10"/>
        <v>0</v>
      </c>
      <c r="M166" s="407">
        <f t="shared" si="2"/>
        <v>0</v>
      </c>
      <c r="N166" s="407">
        <f t="shared" si="3"/>
        <v>0</v>
      </c>
      <c r="O166" s="407">
        <f t="shared" si="4"/>
        <v>-0.000000002349167597</v>
      </c>
      <c r="P166" s="368" t="str">
        <f>IF(AND(K166&gt;K165,K166-2+1='Pro Forma Detail'!D$66),E163,)</f>
        <v/>
      </c>
      <c r="Q166" s="369" t="str">
        <f t="shared" si="11"/>
        <v/>
      </c>
      <c r="R166" s="370">
        <f t="shared" si="12"/>
        <v>0</v>
      </c>
      <c r="S166" s="370">
        <f t="shared" si="13"/>
        <v>0</v>
      </c>
      <c r="T166" s="1"/>
    </row>
    <row r="167" ht="12.75" customHeight="1">
      <c r="A167" s="1">
        <v>156.0</v>
      </c>
      <c r="B167" s="408">
        <f t="shared" si="5"/>
        <v>0</v>
      </c>
      <c r="C167" s="408">
        <f t="shared" si="6"/>
        <v>0</v>
      </c>
      <c r="D167" s="409">
        <f t="shared" si="7"/>
        <v>0</v>
      </c>
      <c r="E167" s="176">
        <f t="shared" si="8"/>
        <v>-0.000000002340177121</v>
      </c>
      <c r="F167" s="408">
        <f t="shared" si="14"/>
        <v>16306617.46</v>
      </c>
      <c r="G167" s="408">
        <f t="shared" si="15"/>
        <v>30373143.87</v>
      </c>
      <c r="H167" s="410">
        <f t="shared" si="16"/>
        <v>0.0275</v>
      </c>
      <c r="I167" s="1">
        <f t="shared" si="1"/>
        <v>156</v>
      </c>
      <c r="J167" s="406">
        <f t="shared" si="17"/>
        <v>48914</v>
      </c>
      <c r="K167" s="105">
        <f t="shared" si="9"/>
        <v>13</v>
      </c>
      <c r="L167" s="411">
        <f t="shared" si="10"/>
        <v>0</v>
      </c>
      <c r="M167" s="407">
        <f t="shared" si="2"/>
        <v>0</v>
      </c>
      <c r="N167" s="407">
        <f t="shared" si="3"/>
        <v>0</v>
      </c>
      <c r="O167" s="407">
        <f t="shared" si="4"/>
        <v>-0.000000002340177121</v>
      </c>
      <c r="P167" s="368" t="str">
        <f>IF(AND(K167&gt;K166,K167-2+1='Pro Forma Detail'!D$66),E164,)</f>
        <v/>
      </c>
      <c r="Q167" s="369" t="str">
        <f t="shared" si="11"/>
        <v/>
      </c>
      <c r="R167" s="370">
        <f t="shared" si="12"/>
        <v>0</v>
      </c>
      <c r="S167" s="370">
        <f t="shared" si="13"/>
        <v>0</v>
      </c>
      <c r="T167" s="1"/>
    </row>
    <row r="168" ht="12.75" customHeight="1">
      <c r="A168" s="1">
        <v>157.0</v>
      </c>
      <c r="B168" s="408">
        <f t="shared" si="5"/>
        <v>0</v>
      </c>
      <c r="C168" s="408">
        <f t="shared" si="6"/>
        <v>0</v>
      </c>
      <c r="D168" s="409">
        <f t="shared" si="7"/>
        <v>0</v>
      </c>
      <c r="E168" s="176">
        <f t="shared" si="8"/>
        <v>-0.000000002331166042</v>
      </c>
      <c r="F168" s="408">
        <f t="shared" si="14"/>
        <v>16306617.46</v>
      </c>
      <c r="G168" s="408">
        <f t="shared" si="15"/>
        <v>30373143.87</v>
      </c>
      <c r="H168" s="410">
        <f t="shared" si="16"/>
        <v>0.0275</v>
      </c>
      <c r="I168" s="1">
        <f t="shared" si="1"/>
        <v>157</v>
      </c>
      <c r="J168" s="406">
        <f t="shared" si="17"/>
        <v>48945</v>
      </c>
      <c r="K168" s="105">
        <f t="shared" si="9"/>
        <v>14</v>
      </c>
      <c r="L168" s="411">
        <f t="shared" si="10"/>
        <v>0</v>
      </c>
      <c r="M168" s="407">
        <f t="shared" si="2"/>
        <v>0</v>
      </c>
      <c r="N168" s="407">
        <f t="shared" si="3"/>
        <v>0</v>
      </c>
      <c r="O168" s="407">
        <f t="shared" si="4"/>
        <v>-0.000000002331166042</v>
      </c>
      <c r="P168" s="368" t="str">
        <f>IF(AND(K168&gt;K167,K168-2+1='Pro Forma Detail'!D$66),E165,)</f>
        <v/>
      </c>
      <c r="Q168" s="369" t="str">
        <f t="shared" si="11"/>
        <v/>
      </c>
      <c r="R168" s="370">
        <f t="shared" si="12"/>
        <v>0</v>
      </c>
      <c r="S168" s="370">
        <f t="shared" si="13"/>
        <v>0</v>
      </c>
      <c r="T168" s="1"/>
    </row>
    <row r="169" ht="12.75" customHeight="1">
      <c r="A169" s="1">
        <v>158.0</v>
      </c>
      <c r="B169" s="408">
        <f t="shared" si="5"/>
        <v>0</v>
      </c>
      <c r="C169" s="408">
        <f t="shared" si="6"/>
        <v>0</v>
      </c>
      <c r="D169" s="409">
        <f t="shared" si="7"/>
        <v>0</v>
      </c>
      <c r="E169" s="176">
        <f t="shared" si="8"/>
        <v>-0.000000002322134313</v>
      </c>
      <c r="F169" s="408">
        <f t="shared" si="14"/>
        <v>16306617.46</v>
      </c>
      <c r="G169" s="408">
        <f t="shared" si="15"/>
        <v>30373143.87</v>
      </c>
      <c r="H169" s="410">
        <f t="shared" si="16"/>
        <v>0.0275</v>
      </c>
      <c r="I169" s="1">
        <f t="shared" si="1"/>
        <v>158</v>
      </c>
      <c r="J169" s="406">
        <f t="shared" si="17"/>
        <v>48976</v>
      </c>
      <c r="K169" s="105">
        <f t="shared" si="9"/>
        <v>14</v>
      </c>
      <c r="L169" s="411">
        <f t="shared" si="10"/>
        <v>0</v>
      </c>
      <c r="M169" s="407">
        <f t="shared" si="2"/>
        <v>0</v>
      </c>
      <c r="N169" s="407">
        <f t="shared" si="3"/>
        <v>0</v>
      </c>
      <c r="O169" s="407">
        <f t="shared" si="4"/>
        <v>-0.000000002322134313</v>
      </c>
      <c r="P169" s="368" t="str">
        <f>IF(AND(K169&gt;K168,K169-2+1='Pro Forma Detail'!D$66),E166,)</f>
        <v/>
      </c>
      <c r="Q169" s="369" t="str">
        <f t="shared" si="11"/>
        <v/>
      </c>
      <c r="R169" s="370">
        <f t="shared" si="12"/>
        <v>0</v>
      </c>
      <c r="S169" s="370">
        <f t="shared" si="13"/>
        <v>0</v>
      </c>
      <c r="T169" s="1"/>
    </row>
    <row r="170" ht="12.75" customHeight="1">
      <c r="A170" s="1">
        <v>159.0</v>
      </c>
      <c r="B170" s="408">
        <f t="shared" si="5"/>
        <v>0</v>
      </c>
      <c r="C170" s="408">
        <f t="shared" si="6"/>
        <v>0</v>
      </c>
      <c r="D170" s="409">
        <f t="shared" si="7"/>
        <v>0</v>
      </c>
      <c r="E170" s="176">
        <f t="shared" si="8"/>
        <v>-0.000000002313081885</v>
      </c>
      <c r="F170" s="408">
        <f t="shared" si="14"/>
        <v>16306617.46</v>
      </c>
      <c r="G170" s="408">
        <f t="shared" si="15"/>
        <v>30373143.87</v>
      </c>
      <c r="H170" s="410">
        <f t="shared" si="16"/>
        <v>0.0275</v>
      </c>
      <c r="I170" s="1">
        <f t="shared" si="1"/>
        <v>159</v>
      </c>
      <c r="J170" s="406">
        <f t="shared" si="17"/>
        <v>49004</v>
      </c>
      <c r="K170" s="105">
        <f t="shared" si="9"/>
        <v>14</v>
      </c>
      <c r="L170" s="411">
        <f t="shared" si="10"/>
        <v>0</v>
      </c>
      <c r="M170" s="407">
        <f t="shared" si="2"/>
        <v>0</v>
      </c>
      <c r="N170" s="407">
        <f t="shared" si="3"/>
        <v>0</v>
      </c>
      <c r="O170" s="407">
        <f t="shared" si="4"/>
        <v>-0.000000002313081885</v>
      </c>
      <c r="P170" s="368" t="str">
        <f>IF(AND(K170&gt;K169,K170-2+1='Pro Forma Detail'!D$66),E167,)</f>
        <v/>
      </c>
      <c r="Q170" s="369" t="str">
        <f t="shared" si="11"/>
        <v/>
      </c>
      <c r="R170" s="370">
        <f t="shared" si="12"/>
        <v>0</v>
      </c>
      <c r="S170" s="370">
        <f t="shared" si="13"/>
        <v>0</v>
      </c>
      <c r="T170" s="1"/>
    </row>
    <row r="171" ht="12.75" customHeight="1">
      <c r="A171" s="1">
        <v>160.0</v>
      </c>
      <c r="B171" s="408">
        <f t="shared" si="5"/>
        <v>0</v>
      </c>
      <c r="C171" s="408">
        <f t="shared" si="6"/>
        <v>0</v>
      </c>
      <c r="D171" s="409">
        <f t="shared" si="7"/>
        <v>0</v>
      </c>
      <c r="E171" s="176">
        <f t="shared" si="8"/>
        <v>-0.000000002304008713</v>
      </c>
      <c r="F171" s="408">
        <f t="shared" si="14"/>
        <v>16306617.46</v>
      </c>
      <c r="G171" s="408">
        <f t="shared" si="15"/>
        <v>30373143.87</v>
      </c>
      <c r="H171" s="410">
        <f t="shared" si="16"/>
        <v>0.0275</v>
      </c>
      <c r="I171" s="1">
        <f t="shared" si="1"/>
        <v>160</v>
      </c>
      <c r="J171" s="406">
        <f t="shared" si="17"/>
        <v>49035</v>
      </c>
      <c r="K171" s="105">
        <f t="shared" si="9"/>
        <v>14</v>
      </c>
      <c r="L171" s="411">
        <f t="shared" si="10"/>
        <v>0</v>
      </c>
      <c r="M171" s="407">
        <f t="shared" si="2"/>
        <v>0</v>
      </c>
      <c r="N171" s="407">
        <f t="shared" si="3"/>
        <v>0</v>
      </c>
      <c r="O171" s="407">
        <f t="shared" si="4"/>
        <v>-0.000000002304008713</v>
      </c>
      <c r="P171" s="368" t="str">
        <f>IF(AND(K171&gt;K170,K171-2+1='Pro Forma Detail'!D$66),E168,)</f>
        <v/>
      </c>
      <c r="Q171" s="369" t="str">
        <f t="shared" si="11"/>
        <v/>
      </c>
      <c r="R171" s="370">
        <f t="shared" si="12"/>
        <v>0</v>
      </c>
      <c r="S171" s="370">
        <f t="shared" si="13"/>
        <v>0</v>
      </c>
      <c r="T171" s="1"/>
    </row>
    <row r="172" ht="12.75" customHeight="1">
      <c r="A172" s="1">
        <v>161.0</v>
      </c>
      <c r="B172" s="408">
        <f t="shared" si="5"/>
        <v>0</v>
      </c>
      <c r="C172" s="408">
        <f t="shared" si="6"/>
        <v>0</v>
      </c>
      <c r="D172" s="409">
        <f t="shared" si="7"/>
        <v>0</v>
      </c>
      <c r="E172" s="176">
        <f t="shared" si="8"/>
        <v>-0.000000002294914748</v>
      </c>
      <c r="F172" s="408">
        <f t="shared" si="14"/>
        <v>16306617.46</v>
      </c>
      <c r="G172" s="408">
        <f t="shared" si="15"/>
        <v>30373143.87</v>
      </c>
      <c r="H172" s="410">
        <f t="shared" si="16"/>
        <v>0.0275</v>
      </c>
      <c r="I172" s="1">
        <f t="shared" si="1"/>
        <v>161</v>
      </c>
      <c r="J172" s="406">
        <f t="shared" si="17"/>
        <v>49065</v>
      </c>
      <c r="K172" s="105">
        <f t="shared" si="9"/>
        <v>14</v>
      </c>
      <c r="L172" s="411">
        <f t="shared" si="10"/>
        <v>0</v>
      </c>
      <c r="M172" s="407">
        <f t="shared" si="2"/>
        <v>0</v>
      </c>
      <c r="N172" s="407">
        <f t="shared" si="3"/>
        <v>0</v>
      </c>
      <c r="O172" s="407">
        <f t="shared" si="4"/>
        <v>-0.000000002294914748</v>
      </c>
      <c r="P172" s="368" t="str">
        <f>IF(AND(K172&gt;K171,K172-2+1='Pro Forma Detail'!D$66),E169,)</f>
        <v/>
      </c>
      <c r="Q172" s="369" t="str">
        <f t="shared" si="11"/>
        <v/>
      </c>
      <c r="R172" s="370">
        <f t="shared" si="12"/>
        <v>0</v>
      </c>
      <c r="S172" s="370">
        <f t="shared" si="13"/>
        <v>0</v>
      </c>
      <c r="T172" s="1"/>
    </row>
    <row r="173" ht="12.75" customHeight="1">
      <c r="A173" s="1">
        <v>162.0</v>
      </c>
      <c r="B173" s="408">
        <f t="shared" si="5"/>
        <v>0</v>
      </c>
      <c r="C173" s="408">
        <f t="shared" si="6"/>
        <v>0</v>
      </c>
      <c r="D173" s="409">
        <f t="shared" si="7"/>
        <v>0</v>
      </c>
      <c r="E173" s="176">
        <f t="shared" si="8"/>
        <v>-0.000000002285799942</v>
      </c>
      <c r="F173" s="408">
        <f t="shared" si="14"/>
        <v>16306617.46</v>
      </c>
      <c r="G173" s="408">
        <f t="shared" si="15"/>
        <v>30373143.87</v>
      </c>
      <c r="H173" s="410">
        <f t="shared" si="16"/>
        <v>0.0275</v>
      </c>
      <c r="I173" s="1">
        <f t="shared" si="1"/>
        <v>162</v>
      </c>
      <c r="J173" s="406">
        <f t="shared" si="17"/>
        <v>49096</v>
      </c>
      <c r="K173" s="105">
        <f t="shared" si="9"/>
        <v>14</v>
      </c>
      <c r="L173" s="411">
        <f t="shared" si="10"/>
        <v>0</v>
      </c>
      <c r="M173" s="407">
        <f t="shared" si="2"/>
        <v>0</v>
      </c>
      <c r="N173" s="407">
        <f t="shared" si="3"/>
        <v>0</v>
      </c>
      <c r="O173" s="407">
        <f t="shared" si="4"/>
        <v>-0.000000002285799942</v>
      </c>
      <c r="P173" s="368" t="str">
        <f>IF(AND(K173&gt;K172,K173-2+1='Pro Forma Detail'!D$66),E170,)</f>
        <v/>
      </c>
      <c r="Q173" s="369" t="str">
        <f t="shared" si="11"/>
        <v/>
      </c>
      <c r="R173" s="370">
        <f t="shared" si="12"/>
        <v>0</v>
      </c>
      <c r="S173" s="370">
        <f t="shared" si="13"/>
        <v>0</v>
      </c>
      <c r="T173" s="1"/>
    </row>
    <row r="174" ht="12.75" customHeight="1">
      <c r="A174" s="1">
        <v>163.0</v>
      </c>
      <c r="B174" s="408">
        <f t="shared" si="5"/>
        <v>0</v>
      </c>
      <c r="C174" s="408">
        <f t="shared" si="6"/>
        <v>0</v>
      </c>
      <c r="D174" s="409">
        <f t="shared" si="7"/>
        <v>0</v>
      </c>
      <c r="E174" s="176">
        <f t="shared" si="8"/>
        <v>-0.000000002276664249</v>
      </c>
      <c r="F174" s="408">
        <f t="shared" si="14"/>
        <v>16306617.46</v>
      </c>
      <c r="G174" s="408">
        <f t="shared" si="15"/>
        <v>30373143.87</v>
      </c>
      <c r="H174" s="410">
        <f t="shared" si="16"/>
        <v>0.0275</v>
      </c>
      <c r="I174" s="1">
        <f t="shared" si="1"/>
        <v>163</v>
      </c>
      <c r="J174" s="406">
        <f t="shared" si="17"/>
        <v>49126</v>
      </c>
      <c r="K174" s="105">
        <f t="shared" si="9"/>
        <v>14</v>
      </c>
      <c r="L174" s="411">
        <f t="shared" si="10"/>
        <v>0</v>
      </c>
      <c r="M174" s="407">
        <f t="shared" si="2"/>
        <v>0</v>
      </c>
      <c r="N174" s="407">
        <f t="shared" si="3"/>
        <v>0</v>
      </c>
      <c r="O174" s="407">
        <f t="shared" si="4"/>
        <v>-0.000000002276664249</v>
      </c>
      <c r="P174" s="368" t="str">
        <f>IF(AND(K174&gt;K173,K174-2+1='Pro Forma Detail'!D$66),E171,)</f>
        <v/>
      </c>
      <c r="Q174" s="369" t="str">
        <f t="shared" si="11"/>
        <v/>
      </c>
      <c r="R174" s="370">
        <f t="shared" si="12"/>
        <v>0</v>
      </c>
      <c r="S174" s="370">
        <f t="shared" si="13"/>
        <v>0</v>
      </c>
      <c r="T174" s="1"/>
    </row>
    <row r="175" ht="12.75" customHeight="1">
      <c r="A175" s="1">
        <v>164.0</v>
      </c>
      <c r="B175" s="408">
        <f t="shared" si="5"/>
        <v>0</v>
      </c>
      <c r="C175" s="408">
        <f t="shared" si="6"/>
        <v>0</v>
      </c>
      <c r="D175" s="409">
        <f t="shared" si="7"/>
        <v>0</v>
      </c>
      <c r="E175" s="176">
        <f t="shared" si="8"/>
        <v>-0.000000002267507619</v>
      </c>
      <c r="F175" s="408">
        <f t="shared" si="14"/>
        <v>16306617.46</v>
      </c>
      <c r="G175" s="408">
        <f t="shared" si="15"/>
        <v>30373143.87</v>
      </c>
      <c r="H175" s="410">
        <f t="shared" si="16"/>
        <v>0.0275</v>
      </c>
      <c r="I175" s="1">
        <f t="shared" si="1"/>
        <v>164</v>
      </c>
      <c r="J175" s="406">
        <f t="shared" si="17"/>
        <v>49157</v>
      </c>
      <c r="K175" s="105">
        <f t="shared" si="9"/>
        <v>14</v>
      </c>
      <c r="L175" s="411">
        <f t="shared" si="10"/>
        <v>0</v>
      </c>
      <c r="M175" s="407">
        <f t="shared" si="2"/>
        <v>0</v>
      </c>
      <c r="N175" s="407">
        <f t="shared" si="3"/>
        <v>0</v>
      </c>
      <c r="O175" s="407">
        <f t="shared" si="4"/>
        <v>-0.000000002267507619</v>
      </c>
      <c r="P175" s="368" t="str">
        <f>IF(AND(K175&gt;K174,K175-2+1='Pro Forma Detail'!D$66),E172,)</f>
        <v/>
      </c>
      <c r="Q175" s="369" t="str">
        <f t="shared" si="11"/>
        <v/>
      </c>
      <c r="R175" s="370">
        <f t="shared" si="12"/>
        <v>0</v>
      </c>
      <c r="S175" s="370">
        <f t="shared" si="13"/>
        <v>0</v>
      </c>
      <c r="T175" s="1"/>
    </row>
    <row r="176" ht="12.75" customHeight="1">
      <c r="A176" s="1">
        <v>165.0</v>
      </c>
      <c r="B176" s="408">
        <f t="shared" si="5"/>
        <v>0</v>
      </c>
      <c r="C176" s="408">
        <f t="shared" si="6"/>
        <v>0</v>
      </c>
      <c r="D176" s="409">
        <f t="shared" si="7"/>
        <v>0</v>
      </c>
      <c r="E176" s="176">
        <f t="shared" si="8"/>
        <v>-0.000000002258330006</v>
      </c>
      <c r="F176" s="408">
        <f t="shared" si="14"/>
        <v>16306617.46</v>
      </c>
      <c r="G176" s="408">
        <f t="shared" si="15"/>
        <v>30373143.87</v>
      </c>
      <c r="H176" s="410">
        <f t="shared" si="16"/>
        <v>0.0275</v>
      </c>
      <c r="I176" s="1">
        <f t="shared" si="1"/>
        <v>165</v>
      </c>
      <c r="J176" s="406">
        <f t="shared" si="17"/>
        <v>49188</v>
      </c>
      <c r="K176" s="105">
        <f t="shared" si="9"/>
        <v>14</v>
      </c>
      <c r="L176" s="411">
        <f t="shared" si="10"/>
        <v>0</v>
      </c>
      <c r="M176" s="407">
        <f t="shared" si="2"/>
        <v>0</v>
      </c>
      <c r="N176" s="407">
        <f t="shared" si="3"/>
        <v>0</v>
      </c>
      <c r="O176" s="407">
        <f t="shared" si="4"/>
        <v>-0.000000002258330006</v>
      </c>
      <c r="P176" s="368" t="str">
        <f>IF(AND(K176&gt;K175,K176-2+1='Pro Forma Detail'!D$66),E173,)</f>
        <v/>
      </c>
      <c r="Q176" s="369" t="str">
        <f t="shared" si="11"/>
        <v/>
      </c>
      <c r="R176" s="370">
        <f t="shared" si="12"/>
        <v>0</v>
      </c>
      <c r="S176" s="370">
        <f t="shared" si="13"/>
        <v>0</v>
      </c>
      <c r="T176" s="1"/>
    </row>
    <row r="177" ht="12.75" customHeight="1">
      <c r="A177" s="1">
        <v>166.0</v>
      </c>
      <c r="B177" s="408">
        <f t="shared" si="5"/>
        <v>0</v>
      </c>
      <c r="C177" s="408">
        <f t="shared" si="6"/>
        <v>0</v>
      </c>
      <c r="D177" s="409">
        <f t="shared" si="7"/>
        <v>0</v>
      </c>
      <c r="E177" s="176">
        <f t="shared" si="8"/>
        <v>-0.00000000224913136</v>
      </c>
      <c r="F177" s="408">
        <f t="shared" si="14"/>
        <v>16306617.46</v>
      </c>
      <c r="G177" s="408">
        <f t="shared" si="15"/>
        <v>30373143.87</v>
      </c>
      <c r="H177" s="410">
        <f t="shared" si="16"/>
        <v>0.0275</v>
      </c>
      <c r="I177" s="1">
        <f t="shared" si="1"/>
        <v>166</v>
      </c>
      <c r="J177" s="406">
        <f t="shared" si="17"/>
        <v>49218</v>
      </c>
      <c r="K177" s="105">
        <f t="shared" si="9"/>
        <v>14</v>
      </c>
      <c r="L177" s="411">
        <f t="shared" si="10"/>
        <v>0</v>
      </c>
      <c r="M177" s="407">
        <f t="shared" si="2"/>
        <v>0</v>
      </c>
      <c r="N177" s="407">
        <f t="shared" si="3"/>
        <v>0</v>
      </c>
      <c r="O177" s="407">
        <f t="shared" si="4"/>
        <v>-0.00000000224913136</v>
      </c>
      <c r="P177" s="368" t="str">
        <f>IF(AND(K177&gt;K176,K177-2+1='Pro Forma Detail'!D$66),E174,)</f>
        <v/>
      </c>
      <c r="Q177" s="369" t="str">
        <f t="shared" si="11"/>
        <v/>
      </c>
      <c r="R177" s="370">
        <f t="shared" si="12"/>
        <v>0</v>
      </c>
      <c r="S177" s="370">
        <f t="shared" si="13"/>
        <v>0</v>
      </c>
      <c r="T177" s="1"/>
    </row>
    <row r="178" ht="12.75" customHeight="1">
      <c r="A178" s="1">
        <v>167.0</v>
      </c>
      <c r="B178" s="408">
        <f t="shared" si="5"/>
        <v>0</v>
      </c>
      <c r="C178" s="408">
        <f t="shared" si="6"/>
        <v>0</v>
      </c>
      <c r="D178" s="409">
        <f t="shared" si="7"/>
        <v>0</v>
      </c>
      <c r="E178" s="176">
        <f t="shared" si="8"/>
        <v>-0.000000002239911634</v>
      </c>
      <c r="F178" s="408">
        <f t="shared" si="14"/>
        <v>16306617.46</v>
      </c>
      <c r="G178" s="408">
        <f t="shared" si="15"/>
        <v>30373143.87</v>
      </c>
      <c r="H178" s="410">
        <f t="shared" si="16"/>
        <v>0.0275</v>
      </c>
      <c r="I178" s="1">
        <f t="shared" si="1"/>
        <v>167</v>
      </c>
      <c r="J178" s="406">
        <f t="shared" si="17"/>
        <v>49249</v>
      </c>
      <c r="K178" s="105">
        <f t="shared" si="9"/>
        <v>14</v>
      </c>
      <c r="L178" s="411">
        <f t="shared" si="10"/>
        <v>0</v>
      </c>
      <c r="M178" s="407">
        <f t="shared" si="2"/>
        <v>0</v>
      </c>
      <c r="N178" s="407">
        <f t="shared" si="3"/>
        <v>0</v>
      </c>
      <c r="O178" s="407">
        <f t="shared" si="4"/>
        <v>-0.000000002239911634</v>
      </c>
      <c r="P178" s="368" t="str">
        <f>IF(AND(K178&gt;K177,K178-2+1='Pro Forma Detail'!D$66),E175,)</f>
        <v/>
      </c>
      <c r="Q178" s="369" t="str">
        <f t="shared" si="11"/>
        <v/>
      </c>
      <c r="R178" s="370">
        <f t="shared" si="12"/>
        <v>0</v>
      </c>
      <c r="S178" s="370">
        <f t="shared" si="13"/>
        <v>0</v>
      </c>
      <c r="T178" s="1"/>
    </row>
    <row r="179" ht="12.75" customHeight="1">
      <c r="A179" s="1">
        <v>168.0</v>
      </c>
      <c r="B179" s="408">
        <f t="shared" si="5"/>
        <v>0</v>
      </c>
      <c r="C179" s="408">
        <f t="shared" si="6"/>
        <v>0</v>
      </c>
      <c r="D179" s="409">
        <f t="shared" si="7"/>
        <v>0</v>
      </c>
      <c r="E179" s="176">
        <f t="shared" si="8"/>
        <v>-0.00000000223067078</v>
      </c>
      <c r="F179" s="408">
        <f t="shared" si="14"/>
        <v>16306617.46</v>
      </c>
      <c r="G179" s="408">
        <f t="shared" si="15"/>
        <v>30373143.87</v>
      </c>
      <c r="H179" s="410">
        <f t="shared" si="16"/>
        <v>0.0275</v>
      </c>
      <c r="I179" s="1">
        <f t="shared" si="1"/>
        <v>168</v>
      </c>
      <c r="J179" s="406">
        <f t="shared" si="17"/>
        <v>49279</v>
      </c>
      <c r="K179" s="105">
        <f t="shared" si="9"/>
        <v>14</v>
      </c>
      <c r="L179" s="411">
        <f t="shared" si="10"/>
        <v>0</v>
      </c>
      <c r="M179" s="407">
        <f t="shared" si="2"/>
        <v>0</v>
      </c>
      <c r="N179" s="407">
        <f t="shared" si="3"/>
        <v>0</v>
      </c>
      <c r="O179" s="407">
        <f t="shared" si="4"/>
        <v>-0.00000000223067078</v>
      </c>
      <c r="P179" s="368" t="str">
        <f>IF(AND(K179&gt;K178,K179-2+1='Pro Forma Detail'!D$66),E176,)</f>
        <v/>
      </c>
      <c r="Q179" s="369" t="str">
        <f t="shared" si="11"/>
        <v/>
      </c>
      <c r="R179" s="370">
        <f t="shared" si="12"/>
        <v>0</v>
      </c>
      <c r="S179" s="370">
        <f t="shared" si="13"/>
        <v>0</v>
      </c>
      <c r="T179" s="1"/>
    </row>
    <row r="180" ht="12.75" customHeight="1">
      <c r="A180" s="1">
        <v>169.0</v>
      </c>
      <c r="B180" s="408">
        <f t="shared" si="5"/>
        <v>0</v>
      </c>
      <c r="C180" s="408">
        <f t="shared" si="6"/>
        <v>0</v>
      </c>
      <c r="D180" s="409">
        <f t="shared" si="7"/>
        <v>0</v>
      </c>
      <c r="E180" s="176">
        <f t="shared" si="8"/>
        <v>-0.000000002221408749</v>
      </c>
      <c r="F180" s="408">
        <f t="shared" si="14"/>
        <v>16306617.46</v>
      </c>
      <c r="G180" s="408">
        <f t="shared" si="15"/>
        <v>30373143.87</v>
      </c>
      <c r="H180" s="410">
        <f t="shared" si="16"/>
        <v>0.0275</v>
      </c>
      <c r="I180" s="1">
        <f t="shared" si="1"/>
        <v>169</v>
      </c>
      <c r="J180" s="406">
        <f t="shared" si="17"/>
        <v>49310</v>
      </c>
      <c r="K180" s="105">
        <f t="shared" si="9"/>
        <v>15</v>
      </c>
      <c r="L180" s="411">
        <f t="shared" si="10"/>
        <v>0</v>
      </c>
      <c r="M180" s="407">
        <f t="shared" si="2"/>
        <v>0</v>
      </c>
      <c r="N180" s="407">
        <f t="shared" si="3"/>
        <v>0</v>
      </c>
      <c r="O180" s="407">
        <f t="shared" si="4"/>
        <v>-0.000000002221408749</v>
      </c>
      <c r="P180" s="368" t="str">
        <f>IF(AND(K180&gt;K179,K180-2+1='Pro Forma Detail'!D$66),E177,)</f>
        <v/>
      </c>
      <c r="Q180" s="369" t="str">
        <f t="shared" si="11"/>
        <v/>
      </c>
      <c r="R180" s="370">
        <f t="shared" si="12"/>
        <v>0</v>
      </c>
      <c r="S180" s="370">
        <f t="shared" si="13"/>
        <v>0</v>
      </c>
      <c r="T180" s="1"/>
    </row>
    <row r="181" ht="12.75" customHeight="1">
      <c r="A181" s="1">
        <v>170.0</v>
      </c>
      <c r="B181" s="408">
        <f t="shared" si="5"/>
        <v>0</v>
      </c>
      <c r="C181" s="408">
        <f t="shared" si="6"/>
        <v>0</v>
      </c>
      <c r="D181" s="409">
        <f t="shared" si="7"/>
        <v>0</v>
      </c>
      <c r="E181" s="176">
        <f t="shared" si="8"/>
        <v>-0.000000002212125492</v>
      </c>
      <c r="F181" s="408">
        <f t="shared" si="14"/>
        <v>16306617.46</v>
      </c>
      <c r="G181" s="408">
        <f t="shared" si="15"/>
        <v>30373143.87</v>
      </c>
      <c r="H181" s="410">
        <f t="shared" si="16"/>
        <v>0.0275</v>
      </c>
      <c r="I181" s="1">
        <f t="shared" si="1"/>
        <v>170</v>
      </c>
      <c r="J181" s="406">
        <f t="shared" si="17"/>
        <v>49341</v>
      </c>
      <c r="K181" s="105">
        <f t="shared" si="9"/>
        <v>15</v>
      </c>
      <c r="L181" s="411">
        <f t="shared" si="10"/>
        <v>0</v>
      </c>
      <c r="M181" s="407">
        <f t="shared" si="2"/>
        <v>0</v>
      </c>
      <c r="N181" s="407">
        <f t="shared" si="3"/>
        <v>0</v>
      </c>
      <c r="O181" s="407">
        <f t="shared" si="4"/>
        <v>-0.000000002212125492</v>
      </c>
      <c r="P181" s="368" t="str">
        <f>IF(AND(K181&gt;K180,K181-2+1='Pro Forma Detail'!D$66),E178,)</f>
        <v/>
      </c>
      <c r="Q181" s="369" t="str">
        <f t="shared" si="11"/>
        <v/>
      </c>
      <c r="R181" s="370">
        <f t="shared" si="12"/>
        <v>0</v>
      </c>
      <c r="S181" s="370">
        <f t="shared" si="13"/>
        <v>0</v>
      </c>
      <c r="T181" s="1"/>
    </row>
    <row r="182" ht="12.75" customHeight="1">
      <c r="A182" s="1">
        <v>171.0</v>
      </c>
      <c r="B182" s="408">
        <f t="shared" si="5"/>
        <v>0</v>
      </c>
      <c r="C182" s="408">
        <f t="shared" si="6"/>
        <v>0</v>
      </c>
      <c r="D182" s="409">
        <f t="shared" si="7"/>
        <v>0</v>
      </c>
      <c r="E182" s="176">
        <f t="shared" si="8"/>
        <v>-0.000000002202820961</v>
      </c>
      <c r="F182" s="408">
        <f t="shared" si="14"/>
        <v>16306617.46</v>
      </c>
      <c r="G182" s="408">
        <f t="shared" si="15"/>
        <v>30373143.87</v>
      </c>
      <c r="H182" s="410">
        <f t="shared" si="16"/>
        <v>0.0275</v>
      </c>
      <c r="I182" s="1">
        <f t="shared" si="1"/>
        <v>171</v>
      </c>
      <c r="J182" s="406">
        <f t="shared" si="17"/>
        <v>49369</v>
      </c>
      <c r="K182" s="105">
        <f t="shared" si="9"/>
        <v>15</v>
      </c>
      <c r="L182" s="411">
        <f t="shared" si="10"/>
        <v>0</v>
      </c>
      <c r="M182" s="407">
        <f t="shared" si="2"/>
        <v>0</v>
      </c>
      <c r="N182" s="407">
        <f t="shared" si="3"/>
        <v>0</v>
      </c>
      <c r="O182" s="407">
        <f t="shared" si="4"/>
        <v>-0.000000002202820961</v>
      </c>
      <c r="P182" s="368" t="str">
        <f>IF(AND(K182&gt;K181,K182-2+1='Pro Forma Detail'!D$66),E179,)</f>
        <v/>
      </c>
      <c r="Q182" s="369" t="str">
        <f t="shared" si="11"/>
        <v/>
      </c>
      <c r="R182" s="370">
        <f t="shared" si="12"/>
        <v>0</v>
      </c>
      <c r="S182" s="370">
        <f t="shared" si="13"/>
        <v>0</v>
      </c>
      <c r="T182" s="1"/>
    </row>
    <row r="183" ht="12.75" customHeight="1">
      <c r="A183" s="1">
        <v>172.0</v>
      </c>
      <c r="B183" s="408">
        <f t="shared" si="5"/>
        <v>0</v>
      </c>
      <c r="C183" s="408">
        <f t="shared" si="6"/>
        <v>0</v>
      </c>
      <c r="D183" s="409">
        <f t="shared" si="7"/>
        <v>0</v>
      </c>
      <c r="E183" s="176">
        <f t="shared" si="8"/>
        <v>-0.000000002193495107</v>
      </c>
      <c r="F183" s="408">
        <f t="shared" si="14"/>
        <v>16306617.46</v>
      </c>
      <c r="G183" s="408">
        <f t="shared" si="15"/>
        <v>30373143.87</v>
      </c>
      <c r="H183" s="410">
        <f t="shared" si="16"/>
        <v>0.0275</v>
      </c>
      <c r="I183" s="1">
        <f t="shared" si="1"/>
        <v>172</v>
      </c>
      <c r="J183" s="406">
        <f t="shared" si="17"/>
        <v>49400</v>
      </c>
      <c r="K183" s="105">
        <f t="shared" si="9"/>
        <v>15</v>
      </c>
      <c r="L183" s="411">
        <f t="shared" si="10"/>
        <v>0</v>
      </c>
      <c r="M183" s="407">
        <f t="shared" si="2"/>
        <v>0</v>
      </c>
      <c r="N183" s="407">
        <f t="shared" si="3"/>
        <v>0</v>
      </c>
      <c r="O183" s="407">
        <f t="shared" si="4"/>
        <v>-0.000000002193495107</v>
      </c>
      <c r="P183" s="368" t="str">
        <f>IF(AND(K183&gt;K182,K183-2+1='Pro Forma Detail'!D$66),E180,)</f>
        <v/>
      </c>
      <c r="Q183" s="369" t="str">
        <f t="shared" si="11"/>
        <v/>
      </c>
      <c r="R183" s="370">
        <f t="shared" si="12"/>
        <v>0</v>
      </c>
      <c r="S183" s="370">
        <f t="shared" si="13"/>
        <v>0</v>
      </c>
      <c r="T183" s="1"/>
    </row>
    <row r="184" ht="12.75" customHeight="1">
      <c r="A184" s="1">
        <v>173.0</v>
      </c>
      <c r="B184" s="408">
        <f t="shared" si="5"/>
        <v>0</v>
      </c>
      <c r="C184" s="408">
        <f t="shared" si="6"/>
        <v>0</v>
      </c>
      <c r="D184" s="409">
        <f t="shared" si="7"/>
        <v>0</v>
      </c>
      <c r="E184" s="176">
        <f t="shared" si="8"/>
        <v>-0.000000002184147882</v>
      </c>
      <c r="F184" s="408">
        <f t="shared" si="14"/>
        <v>16306617.46</v>
      </c>
      <c r="G184" s="408">
        <f t="shared" si="15"/>
        <v>30373143.87</v>
      </c>
      <c r="H184" s="410">
        <f t="shared" si="16"/>
        <v>0.0275</v>
      </c>
      <c r="I184" s="1">
        <f t="shared" si="1"/>
        <v>173</v>
      </c>
      <c r="J184" s="406">
        <f t="shared" si="17"/>
        <v>49430</v>
      </c>
      <c r="K184" s="105">
        <f t="shared" si="9"/>
        <v>15</v>
      </c>
      <c r="L184" s="411">
        <f t="shared" si="10"/>
        <v>0</v>
      </c>
      <c r="M184" s="407">
        <f t="shared" si="2"/>
        <v>0</v>
      </c>
      <c r="N184" s="407">
        <f t="shared" si="3"/>
        <v>0</v>
      </c>
      <c r="O184" s="407">
        <f t="shared" si="4"/>
        <v>-0.000000002184147882</v>
      </c>
      <c r="P184" s="368" t="str">
        <f>IF(AND(K184&gt;K183,K184-2+1='Pro Forma Detail'!D$66),E181,)</f>
        <v/>
      </c>
      <c r="Q184" s="369" t="str">
        <f t="shared" si="11"/>
        <v/>
      </c>
      <c r="R184" s="370">
        <f t="shared" si="12"/>
        <v>0</v>
      </c>
      <c r="S184" s="370">
        <f t="shared" si="13"/>
        <v>0</v>
      </c>
      <c r="T184" s="1"/>
    </row>
    <row r="185" ht="12.75" customHeight="1">
      <c r="A185" s="1">
        <v>174.0</v>
      </c>
      <c r="B185" s="408">
        <f t="shared" si="5"/>
        <v>0</v>
      </c>
      <c r="C185" s="408">
        <f t="shared" si="6"/>
        <v>0</v>
      </c>
      <c r="D185" s="409">
        <f t="shared" si="7"/>
        <v>0</v>
      </c>
      <c r="E185" s="176">
        <f t="shared" si="8"/>
        <v>-0.000000002174779236</v>
      </c>
      <c r="F185" s="408">
        <f t="shared" si="14"/>
        <v>16306617.46</v>
      </c>
      <c r="G185" s="408">
        <f t="shared" si="15"/>
        <v>30373143.87</v>
      </c>
      <c r="H185" s="410">
        <f t="shared" si="16"/>
        <v>0.0275</v>
      </c>
      <c r="I185" s="1">
        <f t="shared" si="1"/>
        <v>174</v>
      </c>
      <c r="J185" s="406">
        <f t="shared" si="17"/>
        <v>49461</v>
      </c>
      <c r="K185" s="105">
        <f t="shared" si="9"/>
        <v>15</v>
      </c>
      <c r="L185" s="411">
        <f t="shared" si="10"/>
        <v>0</v>
      </c>
      <c r="M185" s="407">
        <f t="shared" si="2"/>
        <v>0</v>
      </c>
      <c r="N185" s="407">
        <f t="shared" si="3"/>
        <v>0</v>
      </c>
      <c r="O185" s="407">
        <f t="shared" si="4"/>
        <v>-0.000000002174779236</v>
      </c>
      <c r="P185" s="368" t="str">
        <f>IF(AND(K185&gt;K184,K185-2+1='Pro Forma Detail'!D$66),E182,)</f>
        <v/>
      </c>
      <c r="Q185" s="369" t="str">
        <f t="shared" si="11"/>
        <v/>
      </c>
      <c r="R185" s="370">
        <f t="shared" si="12"/>
        <v>0</v>
      </c>
      <c r="S185" s="370">
        <f t="shared" si="13"/>
        <v>0</v>
      </c>
      <c r="T185" s="1"/>
    </row>
    <row r="186" ht="12.75" customHeight="1">
      <c r="A186" s="1">
        <v>175.0</v>
      </c>
      <c r="B186" s="408">
        <f t="shared" si="5"/>
        <v>0</v>
      </c>
      <c r="C186" s="408">
        <f t="shared" si="6"/>
        <v>0</v>
      </c>
      <c r="D186" s="409">
        <f t="shared" si="7"/>
        <v>0</v>
      </c>
      <c r="E186" s="176">
        <f t="shared" si="8"/>
        <v>-0.00000000216538912</v>
      </c>
      <c r="F186" s="408">
        <f t="shared" si="14"/>
        <v>16306617.46</v>
      </c>
      <c r="G186" s="408">
        <f t="shared" si="15"/>
        <v>30373143.87</v>
      </c>
      <c r="H186" s="410">
        <f t="shared" si="16"/>
        <v>0.0275</v>
      </c>
      <c r="I186" s="1">
        <f t="shared" si="1"/>
        <v>175</v>
      </c>
      <c r="J186" s="406">
        <f t="shared" si="17"/>
        <v>49491</v>
      </c>
      <c r="K186" s="105">
        <f t="shared" si="9"/>
        <v>15</v>
      </c>
      <c r="L186" s="411">
        <f t="shared" si="10"/>
        <v>0</v>
      </c>
      <c r="M186" s="407">
        <f t="shared" si="2"/>
        <v>0</v>
      </c>
      <c r="N186" s="407">
        <f t="shared" si="3"/>
        <v>0</v>
      </c>
      <c r="O186" s="407">
        <f t="shared" si="4"/>
        <v>-0.00000000216538912</v>
      </c>
      <c r="P186" s="368" t="str">
        <f>IF(AND(K186&gt;K185,K186-2+1='Pro Forma Detail'!D$66),E183,)</f>
        <v/>
      </c>
      <c r="Q186" s="369" t="str">
        <f t="shared" si="11"/>
        <v/>
      </c>
      <c r="R186" s="370">
        <f t="shared" si="12"/>
        <v>0</v>
      </c>
      <c r="S186" s="370">
        <f t="shared" si="13"/>
        <v>0</v>
      </c>
      <c r="T186" s="1"/>
    </row>
    <row r="187" ht="12.75" customHeight="1">
      <c r="A187" s="1">
        <v>176.0</v>
      </c>
      <c r="B187" s="408">
        <f t="shared" si="5"/>
        <v>0</v>
      </c>
      <c r="C187" s="408">
        <f t="shared" si="6"/>
        <v>0</v>
      </c>
      <c r="D187" s="409">
        <f t="shared" si="7"/>
        <v>0</v>
      </c>
      <c r="E187" s="176">
        <f t="shared" si="8"/>
        <v>-0.000000002155977485</v>
      </c>
      <c r="F187" s="408">
        <f t="shared" si="14"/>
        <v>16306617.46</v>
      </c>
      <c r="G187" s="408">
        <f t="shared" si="15"/>
        <v>30373143.87</v>
      </c>
      <c r="H187" s="410">
        <f t="shared" si="16"/>
        <v>0.0275</v>
      </c>
      <c r="I187" s="1">
        <f t="shared" si="1"/>
        <v>176</v>
      </c>
      <c r="J187" s="406">
        <f t="shared" si="17"/>
        <v>49522</v>
      </c>
      <c r="K187" s="105">
        <f t="shared" si="9"/>
        <v>15</v>
      </c>
      <c r="L187" s="411">
        <f t="shared" si="10"/>
        <v>0</v>
      </c>
      <c r="M187" s="407">
        <f t="shared" si="2"/>
        <v>0</v>
      </c>
      <c r="N187" s="407">
        <f t="shared" si="3"/>
        <v>0</v>
      </c>
      <c r="O187" s="407">
        <f t="shared" si="4"/>
        <v>-0.000000002155977485</v>
      </c>
      <c r="P187" s="368" t="str">
        <f>IF(AND(K187&gt;K186,K187-2+1='Pro Forma Detail'!D$66),E184,)</f>
        <v/>
      </c>
      <c r="Q187" s="369" t="str">
        <f t="shared" si="11"/>
        <v/>
      </c>
      <c r="R187" s="370">
        <f t="shared" si="12"/>
        <v>0</v>
      </c>
      <c r="S187" s="370">
        <f t="shared" si="13"/>
        <v>0</v>
      </c>
      <c r="T187" s="1"/>
    </row>
    <row r="188" ht="12.75" customHeight="1">
      <c r="A188" s="1">
        <v>177.0</v>
      </c>
      <c r="B188" s="408">
        <f t="shared" si="5"/>
        <v>0</v>
      </c>
      <c r="C188" s="408">
        <f t="shared" si="6"/>
        <v>0</v>
      </c>
      <c r="D188" s="409">
        <f t="shared" si="7"/>
        <v>0</v>
      </c>
      <c r="E188" s="176">
        <f t="shared" si="8"/>
        <v>-0.000000002146544281</v>
      </c>
      <c r="F188" s="408">
        <f t="shared" si="14"/>
        <v>16306617.46</v>
      </c>
      <c r="G188" s="408">
        <f t="shared" si="15"/>
        <v>30373143.87</v>
      </c>
      <c r="H188" s="410">
        <f t="shared" si="16"/>
        <v>0.0275</v>
      </c>
      <c r="I188" s="1">
        <f t="shared" si="1"/>
        <v>177</v>
      </c>
      <c r="J188" s="406">
        <f t="shared" si="17"/>
        <v>49553</v>
      </c>
      <c r="K188" s="105">
        <f t="shared" si="9"/>
        <v>15</v>
      </c>
      <c r="L188" s="411">
        <f t="shared" si="10"/>
        <v>0</v>
      </c>
      <c r="M188" s="407">
        <f t="shared" si="2"/>
        <v>0</v>
      </c>
      <c r="N188" s="407">
        <f t="shared" si="3"/>
        <v>0</v>
      </c>
      <c r="O188" s="407">
        <f t="shared" si="4"/>
        <v>-0.000000002146544281</v>
      </c>
      <c r="P188" s="368" t="str">
        <f>IF(AND(K188&gt;K187,K188-2+1='Pro Forma Detail'!D$66),E185,)</f>
        <v/>
      </c>
      <c r="Q188" s="369" t="str">
        <f t="shared" si="11"/>
        <v/>
      </c>
      <c r="R188" s="370">
        <f t="shared" si="12"/>
        <v>0</v>
      </c>
      <c r="S188" s="370">
        <f t="shared" si="13"/>
        <v>0</v>
      </c>
      <c r="T188" s="1"/>
    </row>
    <row r="189" ht="12.75" customHeight="1">
      <c r="A189" s="1">
        <v>178.0</v>
      </c>
      <c r="B189" s="408">
        <f t="shared" si="5"/>
        <v>0</v>
      </c>
      <c r="C189" s="408">
        <f t="shared" si="6"/>
        <v>0</v>
      </c>
      <c r="D189" s="409">
        <f t="shared" si="7"/>
        <v>0</v>
      </c>
      <c r="E189" s="176">
        <f t="shared" si="8"/>
        <v>-0.00000000213708946</v>
      </c>
      <c r="F189" s="408">
        <f t="shared" si="14"/>
        <v>16306617.46</v>
      </c>
      <c r="G189" s="408">
        <f t="shared" si="15"/>
        <v>30373143.87</v>
      </c>
      <c r="H189" s="410">
        <f t="shared" si="16"/>
        <v>0.0275</v>
      </c>
      <c r="I189" s="1">
        <f t="shared" si="1"/>
        <v>178</v>
      </c>
      <c r="J189" s="406">
        <f t="shared" si="17"/>
        <v>49583</v>
      </c>
      <c r="K189" s="105">
        <f t="shared" si="9"/>
        <v>15</v>
      </c>
      <c r="L189" s="411">
        <f t="shared" si="10"/>
        <v>0</v>
      </c>
      <c r="M189" s="407">
        <f t="shared" si="2"/>
        <v>0</v>
      </c>
      <c r="N189" s="407">
        <f t="shared" si="3"/>
        <v>0</v>
      </c>
      <c r="O189" s="407">
        <f t="shared" si="4"/>
        <v>-0.00000000213708946</v>
      </c>
      <c r="P189" s="368" t="str">
        <f>IF(AND(K189&gt;K188,K189-2+1='Pro Forma Detail'!D$66),E186,)</f>
        <v/>
      </c>
      <c r="Q189" s="369" t="str">
        <f t="shared" si="11"/>
        <v/>
      </c>
      <c r="R189" s="370">
        <f t="shared" si="12"/>
        <v>0</v>
      </c>
      <c r="S189" s="370">
        <f t="shared" si="13"/>
        <v>0</v>
      </c>
      <c r="T189" s="1"/>
    </row>
    <row r="190" ht="12.75" customHeight="1">
      <c r="A190" s="1">
        <v>179.0</v>
      </c>
      <c r="B190" s="408">
        <f t="shared" si="5"/>
        <v>0</v>
      </c>
      <c r="C190" s="408">
        <f t="shared" si="6"/>
        <v>0</v>
      </c>
      <c r="D190" s="409">
        <f t="shared" si="7"/>
        <v>0</v>
      </c>
      <c r="E190" s="176">
        <f t="shared" si="8"/>
        <v>-0.000000002127612972</v>
      </c>
      <c r="F190" s="408">
        <f t="shared" si="14"/>
        <v>16306617.46</v>
      </c>
      <c r="G190" s="408">
        <f t="shared" si="15"/>
        <v>30373143.87</v>
      </c>
      <c r="H190" s="410">
        <f t="shared" si="16"/>
        <v>0.0275</v>
      </c>
      <c r="I190" s="1">
        <f t="shared" si="1"/>
        <v>179</v>
      </c>
      <c r="J190" s="406">
        <f t="shared" si="17"/>
        <v>49614</v>
      </c>
      <c r="K190" s="105">
        <f t="shared" si="9"/>
        <v>15</v>
      </c>
      <c r="L190" s="411">
        <f t="shared" si="10"/>
        <v>0</v>
      </c>
      <c r="M190" s="407">
        <f t="shared" si="2"/>
        <v>0</v>
      </c>
      <c r="N190" s="407">
        <f t="shared" si="3"/>
        <v>0</v>
      </c>
      <c r="O190" s="407">
        <f t="shared" si="4"/>
        <v>-0.000000002127612972</v>
      </c>
      <c r="P190" s="368" t="str">
        <f>IF(AND(K190&gt;K189,K190-2+1='Pro Forma Detail'!D$66),E187,)</f>
        <v/>
      </c>
      <c r="Q190" s="369" t="str">
        <f t="shared" si="11"/>
        <v/>
      </c>
      <c r="R190" s="370">
        <f t="shared" si="12"/>
        <v>0</v>
      </c>
      <c r="S190" s="370">
        <f t="shared" si="13"/>
        <v>0</v>
      </c>
      <c r="T190" s="1"/>
    </row>
    <row r="191" ht="12.75" customHeight="1">
      <c r="A191" s="1">
        <v>180.0</v>
      </c>
      <c r="B191" s="408">
        <f t="shared" si="5"/>
        <v>0</v>
      </c>
      <c r="C191" s="408">
        <f t="shared" si="6"/>
        <v>0</v>
      </c>
      <c r="D191" s="409">
        <f t="shared" si="7"/>
        <v>0</v>
      </c>
      <c r="E191" s="176">
        <f t="shared" si="8"/>
        <v>-0.000000002118114766</v>
      </c>
      <c r="F191" s="408">
        <f t="shared" si="14"/>
        <v>16306617.46</v>
      </c>
      <c r="G191" s="408">
        <f t="shared" si="15"/>
        <v>30373143.87</v>
      </c>
      <c r="H191" s="410">
        <f t="shared" si="16"/>
        <v>0.0275</v>
      </c>
      <c r="I191" s="1">
        <f t="shared" si="1"/>
        <v>180</v>
      </c>
      <c r="J191" s="406">
        <f t="shared" si="17"/>
        <v>49644</v>
      </c>
      <c r="K191" s="105">
        <f t="shared" si="9"/>
        <v>15</v>
      </c>
      <c r="L191" s="411">
        <f t="shared" si="10"/>
        <v>0</v>
      </c>
      <c r="M191" s="407">
        <f t="shared" si="2"/>
        <v>0</v>
      </c>
      <c r="N191" s="407">
        <f t="shared" si="3"/>
        <v>0</v>
      </c>
      <c r="O191" s="407">
        <f t="shared" si="4"/>
        <v>-0.000000002118114766</v>
      </c>
      <c r="P191" s="368" t="str">
        <f>IF(AND(K191&gt;K190,K191-2+1='Pro Forma Detail'!D$66),E188,)</f>
        <v/>
      </c>
      <c r="Q191" s="369" t="str">
        <f t="shared" si="11"/>
        <v/>
      </c>
      <c r="R191" s="370">
        <f t="shared" si="12"/>
        <v>0</v>
      </c>
      <c r="S191" s="370">
        <f t="shared" si="13"/>
        <v>0</v>
      </c>
      <c r="T191" s="1"/>
    </row>
    <row r="192" ht="12.75" customHeight="1">
      <c r="A192" s="1">
        <v>181.0</v>
      </c>
      <c r="B192" s="408">
        <f t="shared" si="5"/>
        <v>0</v>
      </c>
      <c r="C192" s="408">
        <f t="shared" si="6"/>
        <v>0</v>
      </c>
      <c r="D192" s="409">
        <f t="shared" si="7"/>
        <v>0</v>
      </c>
      <c r="E192" s="176">
        <f t="shared" si="8"/>
        <v>-0.000000002108594794</v>
      </c>
      <c r="F192" s="408">
        <f t="shared" si="14"/>
        <v>16306617.46</v>
      </c>
      <c r="G192" s="408">
        <f t="shared" si="15"/>
        <v>30373143.87</v>
      </c>
      <c r="H192" s="410">
        <f t="shared" si="16"/>
        <v>0.0275</v>
      </c>
      <c r="I192" s="1">
        <f t="shared" si="1"/>
        <v>181</v>
      </c>
      <c r="J192" s="406">
        <f t="shared" si="17"/>
        <v>49675</v>
      </c>
      <c r="K192" s="105">
        <f t="shared" si="9"/>
        <v>16</v>
      </c>
      <c r="L192" s="411">
        <f t="shared" si="10"/>
        <v>0</v>
      </c>
      <c r="M192" s="407">
        <f t="shared" si="2"/>
        <v>0</v>
      </c>
      <c r="N192" s="407">
        <f t="shared" si="3"/>
        <v>0</v>
      </c>
      <c r="O192" s="407">
        <f t="shared" si="4"/>
        <v>-0.000000002108594794</v>
      </c>
      <c r="P192" s="368" t="str">
        <f>IF(AND(K192&gt;K191,K192-2+1='Pro Forma Detail'!D$66),E189,)</f>
        <v/>
      </c>
      <c r="Q192" s="369" t="str">
        <f t="shared" si="11"/>
        <v/>
      </c>
      <c r="R192" s="370">
        <f t="shared" si="12"/>
        <v>0</v>
      </c>
      <c r="S192" s="370">
        <f t="shared" si="13"/>
        <v>0</v>
      </c>
      <c r="T192" s="1"/>
    </row>
    <row r="193" ht="12.75" customHeight="1">
      <c r="A193" s="1">
        <v>182.0</v>
      </c>
      <c r="B193" s="408">
        <f t="shared" si="5"/>
        <v>0</v>
      </c>
      <c r="C193" s="408">
        <f t="shared" si="6"/>
        <v>0</v>
      </c>
      <c r="D193" s="409">
        <f t="shared" si="7"/>
        <v>0</v>
      </c>
      <c r="E193" s="176">
        <f t="shared" si="8"/>
        <v>-0.000000002099053006</v>
      </c>
      <c r="F193" s="408">
        <f t="shared" si="14"/>
        <v>16306617.46</v>
      </c>
      <c r="G193" s="408">
        <f t="shared" si="15"/>
        <v>30373143.87</v>
      </c>
      <c r="H193" s="410">
        <f t="shared" si="16"/>
        <v>0.0275</v>
      </c>
      <c r="I193" s="1">
        <f t="shared" si="1"/>
        <v>182</v>
      </c>
      <c r="J193" s="406">
        <f t="shared" si="17"/>
        <v>49706</v>
      </c>
      <c r="K193" s="105">
        <f t="shared" si="9"/>
        <v>16</v>
      </c>
      <c r="L193" s="411">
        <f t="shared" si="10"/>
        <v>0</v>
      </c>
      <c r="M193" s="407">
        <f t="shared" si="2"/>
        <v>0</v>
      </c>
      <c r="N193" s="407">
        <f t="shared" si="3"/>
        <v>0</v>
      </c>
      <c r="O193" s="407">
        <f t="shared" si="4"/>
        <v>-0.000000002099053006</v>
      </c>
      <c r="P193" s="368" t="str">
        <f>IF(AND(K193&gt;K192,K193-2+1='Pro Forma Detail'!D$66),E190,)</f>
        <v/>
      </c>
      <c r="Q193" s="369" t="str">
        <f t="shared" si="11"/>
        <v/>
      </c>
      <c r="R193" s="370">
        <f t="shared" si="12"/>
        <v>0</v>
      </c>
      <c r="S193" s="370">
        <f t="shared" si="13"/>
        <v>0</v>
      </c>
      <c r="T193" s="1"/>
    </row>
    <row r="194" ht="12.75" customHeight="1">
      <c r="A194" s="1">
        <v>183.0</v>
      </c>
      <c r="B194" s="408">
        <f t="shared" si="5"/>
        <v>0</v>
      </c>
      <c r="C194" s="408">
        <f t="shared" si="6"/>
        <v>0</v>
      </c>
      <c r="D194" s="409">
        <f t="shared" si="7"/>
        <v>0</v>
      </c>
      <c r="E194" s="176">
        <f t="shared" si="8"/>
        <v>-0.00000000208948935</v>
      </c>
      <c r="F194" s="408">
        <f t="shared" si="14"/>
        <v>16306617.46</v>
      </c>
      <c r="G194" s="408">
        <f t="shared" si="15"/>
        <v>30373143.87</v>
      </c>
      <c r="H194" s="410">
        <f t="shared" si="16"/>
        <v>0.0275</v>
      </c>
      <c r="I194" s="1">
        <f t="shared" si="1"/>
        <v>183</v>
      </c>
      <c r="J194" s="406">
        <f t="shared" si="17"/>
        <v>49735</v>
      </c>
      <c r="K194" s="105">
        <f t="shared" si="9"/>
        <v>16</v>
      </c>
      <c r="L194" s="411">
        <f t="shared" si="10"/>
        <v>0</v>
      </c>
      <c r="M194" s="407">
        <f t="shared" si="2"/>
        <v>0</v>
      </c>
      <c r="N194" s="407">
        <f t="shared" si="3"/>
        <v>0</v>
      </c>
      <c r="O194" s="407">
        <f t="shared" si="4"/>
        <v>-0.00000000208948935</v>
      </c>
      <c r="P194" s="368" t="str">
        <f>IF(AND(K194&gt;K193,K194-2+1='Pro Forma Detail'!D$66),E191,)</f>
        <v/>
      </c>
      <c r="Q194" s="369" t="str">
        <f t="shared" si="11"/>
        <v/>
      </c>
      <c r="R194" s="370">
        <f t="shared" si="12"/>
        <v>0</v>
      </c>
      <c r="S194" s="370">
        <f t="shared" si="13"/>
        <v>0</v>
      </c>
      <c r="T194" s="1"/>
    </row>
    <row r="195" ht="12.75" customHeight="1">
      <c r="A195" s="1">
        <v>184.0</v>
      </c>
      <c r="B195" s="408">
        <f t="shared" si="5"/>
        <v>0</v>
      </c>
      <c r="C195" s="408">
        <f t="shared" si="6"/>
        <v>0</v>
      </c>
      <c r="D195" s="409">
        <f t="shared" si="7"/>
        <v>0</v>
      </c>
      <c r="E195" s="176">
        <f t="shared" si="8"/>
        <v>-0.000000002079903778</v>
      </c>
      <c r="F195" s="408">
        <f t="shared" si="14"/>
        <v>16306617.46</v>
      </c>
      <c r="G195" s="408">
        <f t="shared" si="15"/>
        <v>30373143.87</v>
      </c>
      <c r="H195" s="410">
        <f t="shared" si="16"/>
        <v>0.0275</v>
      </c>
      <c r="I195" s="1">
        <f t="shared" si="1"/>
        <v>184</v>
      </c>
      <c r="J195" s="406">
        <f t="shared" si="17"/>
        <v>49766</v>
      </c>
      <c r="K195" s="105">
        <f t="shared" si="9"/>
        <v>16</v>
      </c>
      <c r="L195" s="411">
        <f t="shared" si="10"/>
        <v>0</v>
      </c>
      <c r="M195" s="407">
        <f t="shared" si="2"/>
        <v>0</v>
      </c>
      <c r="N195" s="407">
        <f t="shared" si="3"/>
        <v>0</v>
      </c>
      <c r="O195" s="407">
        <f t="shared" si="4"/>
        <v>-0.000000002079903778</v>
      </c>
      <c r="P195" s="368" t="str">
        <f>IF(AND(K195&gt;K194,K195-2+1='Pro Forma Detail'!D$66),E192,)</f>
        <v/>
      </c>
      <c r="Q195" s="369" t="str">
        <f t="shared" si="11"/>
        <v/>
      </c>
      <c r="R195" s="370">
        <f t="shared" si="12"/>
        <v>0</v>
      </c>
      <c r="S195" s="370">
        <f t="shared" si="13"/>
        <v>0</v>
      </c>
      <c r="T195" s="1"/>
    </row>
    <row r="196" ht="12.75" customHeight="1">
      <c r="A196" s="1">
        <v>185.0</v>
      </c>
      <c r="B196" s="408">
        <f t="shared" si="5"/>
        <v>0</v>
      </c>
      <c r="C196" s="408">
        <f t="shared" si="6"/>
        <v>0</v>
      </c>
      <c r="D196" s="409">
        <f t="shared" si="7"/>
        <v>0</v>
      </c>
      <c r="E196" s="176">
        <f t="shared" si="8"/>
        <v>-0.000000002070296239</v>
      </c>
      <c r="F196" s="408">
        <f t="shared" si="14"/>
        <v>16306617.46</v>
      </c>
      <c r="G196" s="408">
        <f t="shared" si="15"/>
        <v>30373143.87</v>
      </c>
      <c r="H196" s="410">
        <f t="shared" si="16"/>
        <v>0.0275</v>
      </c>
      <c r="I196" s="1">
        <f t="shared" si="1"/>
        <v>185</v>
      </c>
      <c r="J196" s="406">
        <f t="shared" si="17"/>
        <v>49796</v>
      </c>
      <c r="K196" s="105">
        <f t="shared" si="9"/>
        <v>16</v>
      </c>
      <c r="L196" s="411">
        <f t="shared" si="10"/>
        <v>0</v>
      </c>
      <c r="M196" s="407">
        <f t="shared" si="2"/>
        <v>0</v>
      </c>
      <c r="N196" s="407">
        <f t="shared" si="3"/>
        <v>0</v>
      </c>
      <c r="O196" s="407">
        <f t="shared" si="4"/>
        <v>-0.000000002070296239</v>
      </c>
      <c r="P196" s="368" t="str">
        <f>IF(AND(K196&gt;K195,K196-2+1='Pro Forma Detail'!D$66),E193,)</f>
        <v/>
      </c>
      <c r="Q196" s="369" t="str">
        <f t="shared" si="11"/>
        <v/>
      </c>
      <c r="R196" s="370">
        <f t="shared" si="12"/>
        <v>0</v>
      </c>
      <c r="S196" s="370">
        <f t="shared" si="13"/>
        <v>0</v>
      </c>
      <c r="T196" s="1"/>
    </row>
    <row r="197" ht="12.75" customHeight="1">
      <c r="A197" s="1">
        <v>186.0</v>
      </c>
      <c r="B197" s="408">
        <f t="shared" si="5"/>
        <v>0</v>
      </c>
      <c r="C197" s="408">
        <f t="shared" si="6"/>
        <v>0</v>
      </c>
      <c r="D197" s="409">
        <f t="shared" si="7"/>
        <v>0</v>
      </c>
      <c r="E197" s="176">
        <f t="shared" si="8"/>
        <v>-0.000000002060666683</v>
      </c>
      <c r="F197" s="408">
        <f t="shared" si="14"/>
        <v>16306617.46</v>
      </c>
      <c r="G197" s="408">
        <f t="shared" si="15"/>
        <v>30373143.87</v>
      </c>
      <c r="H197" s="410">
        <f t="shared" si="16"/>
        <v>0.0275</v>
      </c>
      <c r="I197" s="1">
        <f t="shared" si="1"/>
        <v>186</v>
      </c>
      <c r="J197" s="406">
        <f t="shared" si="17"/>
        <v>49827</v>
      </c>
      <c r="K197" s="105">
        <f t="shared" si="9"/>
        <v>16</v>
      </c>
      <c r="L197" s="411">
        <f t="shared" si="10"/>
        <v>0</v>
      </c>
      <c r="M197" s="407">
        <f t="shared" si="2"/>
        <v>0</v>
      </c>
      <c r="N197" s="407">
        <f t="shared" si="3"/>
        <v>0</v>
      </c>
      <c r="O197" s="407">
        <f t="shared" si="4"/>
        <v>-0.000000002060666683</v>
      </c>
      <c r="P197" s="368" t="str">
        <f>IF(AND(K197&gt;K196,K197-2+1='Pro Forma Detail'!D$66),E194,)</f>
        <v/>
      </c>
      <c r="Q197" s="369" t="str">
        <f t="shared" si="11"/>
        <v/>
      </c>
      <c r="R197" s="370">
        <f t="shared" si="12"/>
        <v>0</v>
      </c>
      <c r="S197" s="370">
        <f t="shared" si="13"/>
        <v>0</v>
      </c>
      <c r="T197" s="1"/>
    </row>
    <row r="198" ht="12.75" customHeight="1">
      <c r="A198" s="1">
        <v>187.0</v>
      </c>
      <c r="B198" s="408">
        <f t="shared" si="5"/>
        <v>0</v>
      </c>
      <c r="C198" s="408">
        <f t="shared" si="6"/>
        <v>0</v>
      </c>
      <c r="D198" s="409">
        <f t="shared" si="7"/>
        <v>0</v>
      </c>
      <c r="E198" s="176">
        <f t="shared" si="8"/>
        <v>-0.000000002051015059</v>
      </c>
      <c r="F198" s="408">
        <f t="shared" si="14"/>
        <v>16306617.46</v>
      </c>
      <c r="G198" s="408">
        <f t="shared" si="15"/>
        <v>30373143.87</v>
      </c>
      <c r="H198" s="410">
        <f t="shared" si="16"/>
        <v>0.0275</v>
      </c>
      <c r="I198" s="1">
        <f t="shared" si="1"/>
        <v>187</v>
      </c>
      <c r="J198" s="406">
        <f t="shared" si="17"/>
        <v>49857</v>
      </c>
      <c r="K198" s="105">
        <f t="shared" si="9"/>
        <v>16</v>
      </c>
      <c r="L198" s="411">
        <f t="shared" si="10"/>
        <v>0</v>
      </c>
      <c r="M198" s="407">
        <f t="shared" si="2"/>
        <v>0</v>
      </c>
      <c r="N198" s="407">
        <f t="shared" si="3"/>
        <v>0</v>
      </c>
      <c r="O198" s="407">
        <f t="shared" si="4"/>
        <v>-0.000000002051015059</v>
      </c>
      <c r="P198" s="368" t="str">
        <f>IF(AND(K198&gt;K197,K198-2+1='Pro Forma Detail'!D$66),E195,)</f>
        <v/>
      </c>
      <c r="Q198" s="369" t="str">
        <f t="shared" si="11"/>
        <v/>
      </c>
      <c r="R198" s="370">
        <f t="shared" si="12"/>
        <v>0</v>
      </c>
      <c r="S198" s="370">
        <f t="shared" si="13"/>
        <v>0</v>
      </c>
      <c r="T198" s="1"/>
    </row>
    <row r="199" ht="12.75" customHeight="1">
      <c r="A199" s="1">
        <v>188.0</v>
      </c>
      <c r="B199" s="408">
        <f t="shared" si="5"/>
        <v>0</v>
      </c>
      <c r="C199" s="408">
        <f t="shared" si="6"/>
        <v>0</v>
      </c>
      <c r="D199" s="409">
        <f t="shared" si="7"/>
        <v>0</v>
      </c>
      <c r="E199" s="176">
        <f t="shared" si="8"/>
        <v>-0.000000002041341317</v>
      </c>
      <c r="F199" s="408">
        <f t="shared" si="14"/>
        <v>16306617.46</v>
      </c>
      <c r="G199" s="408">
        <f t="shared" si="15"/>
        <v>30373143.87</v>
      </c>
      <c r="H199" s="410">
        <f t="shared" si="16"/>
        <v>0.0275</v>
      </c>
      <c r="I199" s="1">
        <f t="shared" si="1"/>
        <v>188</v>
      </c>
      <c r="J199" s="406">
        <f t="shared" si="17"/>
        <v>49888</v>
      </c>
      <c r="K199" s="105">
        <f t="shared" si="9"/>
        <v>16</v>
      </c>
      <c r="L199" s="411">
        <f t="shared" si="10"/>
        <v>0</v>
      </c>
      <c r="M199" s="407">
        <f t="shared" si="2"/>
        <v>0</v>
      </c>
      <c r="N199" s="407">
        <f t="shared" si="3"/>
        <v>0</v>
      </c>
      <c r="O199" s="407">
        <f t="shared" si="4"/>
        <v>-0.000000002041341317</v>
      </c>
      <c r="P199" s="368" t="str">
        <f>IF(AND(K199&gt;K198,K199-2+1='Pro Forma Detail'!D$66),E196,)</f>
        <v/>
      </c>
      <c r="Q199" s="369" t="str">
        <f t="shared" si="11"/>
        <v/>
      </c>
      <c r="R199" s="370">
        <f t="shared" si="12"/>
        <v>0</v>
      </c>
      <c r="S199" s="370">
        <f t="shared" si="13"/>
        <v>0</v>
      </c>
      <c r="T199" s="1"/>
    </row>
    <row r="200" ht="12.75" customHeight="1">
      <c r="A200" s="1">
        <v>189.0</v>
      </c>
      <c r="B200" s="408">
        <f t="shared" si="5"/>
        <v>0</v>
      </c>
      <c r="C200" s="408">
        <f t="shared" si="6"/>
        <v>0</v>
      </c>
      <c r="D200" s="409">
        <f t="shared" si="7"/>
        <v>0</v>
      </c>
      <c r="E200" s="176">
        <f t="shared" si="8"/>
        <v>-0.000000002031645406</v>
      </c>
      <c r="F200" s="408">
        <f t="shared" si="14"/>
        <v>16306617.46</v>
      </c>
      <c r="G200" s="408">
        <f t="shared" si="15"/>
        <v>30373143.87</v>
      </c>
      <c r="H200" s="410">
        <f t="shared" si="16"/>
        <v>0.0275</v>
      </c>
      <c r="I200" s="1">
        <f t="shared" si="1"/>
        <v>189</v>
      </c>
      <c r="J200" s="406">
        <f t="shared" si="17"/>
        <v>49919</v>
      </c>
      <c r="K200" s="105">
        <f t="shared" si="9"/>
        <v>16</v>
      </c>
      <c r="L200" s="411">
        <f t="shared" si="10"/>
        <v>0</v>
      </c>
      <c r="M200" s="407">
        <f t="shared" si="2"/>
        <v>0</v>
      </c>
      <c r="N200" s="407">
        <f t="shared" si="3"/>
        <v>0</v>
      </c>
      <c r="O200" s="407">
        <f t="shared" si="4"/>
        <v>-0.000000002031645406</v>
      </c>
      <c r="P200" s="368" t="str">
        <f>IF(AND(K200&gt;K199,K200-2+1='Pro Forma Detail'!D$66),E197,)</f>
        <v/>
      </c>
      <c r="Q200" s="369" t="str">
        <f t="shared" si="11"/>
        <v/>
      </c>
      <c r="R200" s="370">
        <f t="shared" si="12"/>
        <v>0</v>
      </c>
      <c r="S200" s="370">
        <f t="shared" si="13"/>
        <v>0</v>
      </c>
      <c r="T200" s="1"/>
    </row>
    <row r="201" ht="12.75" customHeight="1">
      <c r="A201" s="1">
        <v>190.0</v>
      </c>
      <c r="B201" s="408">
        <f t="shared" si="5"/>
        <v>0</v>
      </c>
      <c r="C201" s="408">
        <f t="shared" si="6"/>
        <v>0</v>
      </c>
      <c r="D201" s="409">
        <f t="shared" si="7"/>
        <v>0</v>
      </c>
      <c r="E201" s="176">
        <f t="shared" si="8"/>
        <v>-0.000000002021927274</v>
      </c>
      <c r="F201" s="408">
        <f t="shared" si="14"/>
        <v>16306617.46</v>
      </c>
      <c r="G201" s="408">
        <f t="shared" si="15"/>
        <v>30373143.87</v>
      </c>
      <c r="H201" s="410">
        <f t="shared" si="16"/>
        <v>0.0275</v>
      </c>
      <c r="I201" s="1">
        <f t="shared" si="1"/>
        <v>190</v>
      </c>
      <c r="J201" s="406">
        <f t="shared" si="17"/>
        <v>49949</v>
      </c>
      <c r="K201" s="105">
        <f t="shared" si="9"/>
        <v>16</v>
      </c>
      <c r="L201" s="411">
        <f t="shared" si="10"/>
        <v>0</v>
      </c>
      <c r="M201" s="407">
        <f t="shared" si="2"/>
        <v>0</v>
      </c>
      <c r="N201" s="407">
        <f t="shared" si="3"/>
        <v>0</v>
      </c>
      <c r="O201" s="407">
        <f t="shared" si="4"/>
        <v>-0.000000002021927274</v>
      </c>
      <c r="P201" s="368" t="str">
        <f>IF(AND(K201&gt;K200,K201-2+1='Pro Forma Detail'!D$66),E198,)</f>
        <v/>
      </c>
      <c r="Q201" s="369" t="str">
        <f t="shared" si="11"/>
        <v/>
      </c>
      <c r="R201" s="370">
        <f t="shared" si="12"/>
        <v>0</v>
      </c>
      <c r="S201" s="370">
        <f t="shared" si="13"/>
        <v>0</v>
      </c>
      <c r="T201" s="1"/>
    </row>
    <row r="202" ht="12.75" customHeight="1">
      <c r="A202" s="1">
        <v>191.0</v>
      </c>
      <c r="B202" s="408">
        <f t="shared" si="5"/>
        <v>0</v>
      </c>
      <c r="C202" s="408">
        <f t="shared" si="6"/>
        <v>0</v>
      </c>
      <c r="D202" s="409">
        <f t="shared" si="7"/>
        <v>0</v>
      </c>
      <c r="E202" s="176">
        <f t="shared" si="8"/>
        <v>-0.000000002012186873</v>
      </c>
      <c r="F202" s="408">
        <f t="shared" si="14"/>
        <v>16306617.46</v>
      </c>
      <c r="G202" s="408">
        <f t="shared" si="15"/>
        <v>30373143.87</v>
      </c>
      <c r="H202" s="410">
        <f t="shared" si="16"/>
        <v>0.0275</v>
      </c>
      <c r="I202" s="1">
        <f t="shared" si="1"/>
        <v>191</v>
      </c>
      <c r="J202" s="406">
        <f t="shared" si="17"/>
        <v>49980</v>
      </c>
      <c r="K202" s="105">
        <f t="shared" si="9"/>
        <v>16</v>
      </c>
      <c r="L202" s="411">
        <f t="shared" si="10"/>
        <v>0</v>
      </c>
      <c r="M202" s="407">
        <f t="shared" si="2"/>
        <v>0</v>
      </c>
      <c r="N202" s="407">
        <f t="shared" si="3"/>
        <v>0</v>
      </c>
      <c r="O202" s="407">
        <f t="shared" si="4"/>
        <v>-0.000000002012186873</v>
      </c>
      <c r="P202" s="368" t="str">
        <f>IF(AND(K202&gt;K201,K202-2+1='Pro Forma Detail'!D$66),E199,)</f>
        <v/>
      </c>
      <c r="Q202" s="369" t="str">
        <f t="shared" si="11"/>
        <v/>
      </c>
      <c r="R202" s="370">
        <f t="shared" si="12"/>
        <v>0</v>
      </c>
      <c r="S202" s="370">
        <f t="shared" si="13"/>
        <v>0</v>
      </c>
      <c r="T202" s="1"/>
    </row>
    <row r="203" ht="12.75" customHeight="1">
      <c r="A203" s="1">
        <v>192.0</v>
      </c>
      <c r="B203" s="408">
        <f t="shared" si="5"/>
        <v>0</v>
      </c>
      <c r="C203" s="408">
        <f t="shared" si="6"/>
        <v>0</v>
      </c>
      <c r="D203" s="409">
        <f t="shared" si="7"/>
        <v>0</v>
      </c>
      <c r="E203" s="176">
        <f t="shared" si="8"/>
        <v>-0.000000002002424149</v>
      </c>
      <c r="F203" s="408">
        <f t="shared" si="14"/>
        <v>16306617.46</v>
      </c>
      <c r="G203" s="408">
        <f t="shared" si="15"/>
        <v>30373143.87</v>
      </c>
      <c r="H203" s="410">
        <f t="shared" si="16"/>
        <v>0.0275</v>
      </c>
      <c r="I203" s="1">
        <f t="shared" si="1"/>
        <v>192</v>
      </c>
      <c r="J203" s="406">
        <f t="shared" si="17"/>
        <v>50010</v>
      </c>
      <c r="K203" s="105">
        <f t="shared" si="9"/>
        <v>16</v>
      </c>
      <c r="L203" s="411">
        <f t="shared" si="10"/>
        <v>0</v>
      </c>
      <c r="M203" s="407">
        <f t="shared" si="2"/>
        <v>0</v>
      </c>
      <c r="N203" s="407">
        <f t="shared" si="3"/>
        <v>0</v>
      </c>
      <c r="O203" s="407">
        <f t="shared" si="4"/>
        <v>-0.000000002002424149</v>
      </c>
      <c r="P203" s="368" t="str">
        <f>IF(AND(K203&gt;K202,K203-2+1='Pro Forma Detail'!D$66),E200,)</f>
        <v/>
      </c>
      <c r="Q203" s="369" t="str">
        <f t="shared" si="11"/>
        <v/>
      </c>
      <c r="R203" s="370">
        <f t="shared" si="12"/>
        <v>0</v>
      </c>
      <c r="S203" s="370">
        <f t="shared" si="13"/>
        <v>0</v>
      </c>
      <c r="T203" s="1"/>
    </row>
    <row r="204" ht="12.75" customHeight="1">
      <c r="A204" s="1">
        <v>193.0</v>
      </c>
      <c r="B204" s="408">
        <f t="shared" si="5"/>
        <v>0</v>
      </c>
      <c r="C204" s="408">
        <f t="shared" si="6"/>
        <v>0</v>
      </c>
      <c r="D204" s="409">
        <f t="shared" si="7"/>
        <v>0</v>
      </c>
      <c r="E204" s="176">
        <f t="shared" si="8"/>
        <v>-0.000000001992639053</v>
      </c>
      <c r="F204" s="408">
        <f t="shared" si="14"/>
        <v>16306617.46</v>
      </c>
      <c r="G204" s="408">
        <f t="shared" si="15"/>
        <v>30373143.87</v>
      </c>
      <c r="H204" s="410">
        <f t="shared" si="16"/>
        <v>0.0275</v>
      </c>
      <c r="I204" s="1">
        <f t="shared" si="1"/>
        <v>193</v>
      </c>
      <c r="J204" s="406">
        <f t="shared" si="17"/>
        <v>50041</v>
      </c>
      <c r="K204" s="105">
        <f t="shared" si="9"/>
        <v>17</v>
      </c>
      <c r="L204" s="411">
        <f t="shared" si="10"/>
        <v>0</v>
      </c>
      <c r="M204" s="407">
        <f t="shared" si="2"/>
        <v>0</v>
      </c>
      <c r="N204" s="407">
        <f t="shared" si="3"/>
        <v>0</v>
      </c>
      <c r="O204" s="407">
        <f t="shared" si="4"/>
        <v>-0.000000001992639053</v>
      </c>
      <c r="P204" s="368" t="str">
        <f>IF(AND(K204&gt;K203,K204-2+1='Pro Forma Detail'!D$66),E201,)</f>
        <v/>
      </c>
      <c r="Q204" s="369" t="str">
        <f t="shared" si="11"/>
        <v/>
      </c>
      <c r="R204" s="370">
        <f t="shared" si="12"/>
        <v>0</v>
      </c>
      <c r="S204" s="370">
        <f t="shared" si="13"/>
        <v>0</v>
      </c>
      <c r="T204" s="1"/>
    </row>
    <row r="205" ht="12.75" customHeight="1">
      <c r="A205" s="1">
        <v>194.0</v>
      </c>
      <c r="B205" s="408">
        <f t="shared" si="5"/>
        <v>0</v>
      </c>
      <c r="C205" s="408">
        <f t="shared" si="6"/>
        <v>0</v>
      </c>
      <c r="D205" s="409">
        <f t="shared" si="7"/>
        <v>0</v>
      </c>
      <c r="E205" s="176">
        <f t="shared" si="8"/>
        <v>-0.000000001982831532</v>
      </c>
      <c r="F205" s="408">
        <f t="shared" si="14"/>
        <v>16306617.46</v>
      </c>
      <c r="G205" s="408">
        <f t="shared" si="15"/>
        <v>30373143.87</v>
      </c>
      <c r="H205" s="410">
        <f t="shared" si="16"/>
        <v>0.0275</v>
      </c>
      <c r="I205" s="1">
        <f t="shared" si="1"/>
        <v>194</v>
      </c>
      <c r="J205" s="406">
        <f t="shared" si="17"/>
        <v>50072</v>
      </c>
      <c r="K205" s="105">
        <f t="shared" si="9"/>
        <v>17</v>
      </c>
      <c r="L205" s="411">
        <f t="shared" si="10"/>
        <v>0</v>
      </c>
      <c r="M205" s="407">
        <f t="shared" si="2"/>
        <v>0</v>
      </c>
      <c r="N205" s="407">
        <f t="shared" si="3"/>
        <v>0</v>
      </c>
      <c r="O205" s="407">
        <f t="shared" si="4"/>
        <v>-0.000000001982831532</v>
      </c>
      <c r="P205" s="368" t="str">
        <f>IF(AND(K205&gt;K204,K205-2+1='Pro Forma Detail'!D$66),E202,)</f>
        <v/>
      </c>
      <c r="Q205" s="369" t="str">
        <f t="shared" si="11"/>
        <v/>
      </c>
      <c r="R205" s="370">
        <f t="shared" si="12"/>
        <v>0</v>
      </c>
      <c r="S205" s="370">
        <f t="shared" si="13"/>
        <v>0</v>
      </c>
      <c r="T205" s="1"/>
    </row>
    <row r="206" ht="12.75" customHeight="1">
      <c r="A206" s="1">
        <v>195.0</v>
      </c>
      <c r="B206" s="408">
        <f t="shared" si="5"/>
        <v>0</v>
      </c>
      <c r="C206" s="408">
        <f t="shared" si="6"/>
        <v>0</v>
      </c>
      <c r="D206" s="409">
        <f t="shared" si="7"/>
        <v>0</v>
      </c>
      <c r="E206" s="176">
        <f t="shared" si="8"/>
        <v>-0.000000001973001536</v>
      </c>
      <c r="F206" s="408">
        <f t="shared" si="14"/>
        <v>16306617.46</v>
      </c>
      <c r="G206" s="408">
        <f t="shared" si="15"/>
        <v>30373143.87</v>
      </c>
      <c r="H206" s="410">
        <f t="shared" si="16"/>
        <v>0.0275</v>
      </c>
      <c r="I206" s="1">
        <f t="shared" si="1"/>
        <v>195</v>
      </c>
      <c r="J206" s="406">
        <f t="shared" si="17"/>
        <v>50100</v>
      </c>
      <c r="K206" s="105">
        <f t="shared" si="9"/>
        <v>17</v>
      </c>
      <c r="L206" s="411">
        <f t="shared" si="10"/>
        <v>0</v>
      </c>
      <c r="M206" s="407">
        <f t="shared" si="2"/>
        <v>0</v>
      </c>
      <c r="N206" s="407">
        <f t="shared" si="3"/>
        <v>0</v>
      </c>
      <c r="O206" s="407">
        <f t="shared" si="4"/>
        <v>-0.000000001973001536</v>
      </c>
      <c r="P206" s="368" t="str">
        <f>IF(AND(K206&gt;K205,K206-2+1='Pro Forma Detail'!D$66),E203,)</f>
        <v/>
      </c>
      <c r="Q206" s="369" t="str">
        <f t="shared" si="11"/>
        <v/>
      </c>
      <c r="R206" s="370">
        <f t="shared" si="12"/>
        <v>0</v>
      </c>
      <c r="S206" s="370">
        <f t="shared" si="13"/>
        <v>0</v>
      </c>
      <c r="T206" s="1"/>
    </row>
    <row r="207" ht="12.75" customHeight="1">
      <c r="A207" s="1">
        <v>196.0</v>
      </c>
      <c r="B207" s="408">
        <f t="shared" si="5"/>
        <v>0</v>
      </c>
      <c r="C207" s="408">
        <f t="shared" si="6"/>
        <v>0</v>
      </c>
      <c r="D207" s="409">
        <f t="shared" si="7"/>
        <v>0</v>
      </c>
      <c r="E207" s="176">
        <f t="shared" si="8"/>
        <v>-0.000000001963149013</v>
      </c>
      <c r="F207" s="408">
        <f t="shared" si="14"/>
        <v>16306617.46</v>
      </c>
      <c r="G207" s="408">
        <f t="shared" si="15"/>
        <v>30373143.87</v>
      </c>
      <c r="H207" s="410">
        <f t="shared" si="16"/>
        <v>0.0275</v>
      </c>
      <c r="I207" s="1">
        <f t="shared" si="1"/>
        <v>196</v>
      </c>
      <c r="J207" s="406">
        <f t="shared" si="17"/>
        <v>50131</v>
      </c>
      <c r="K207" s="105">
        <f t="shared" si="9"/>
        <v>17</v>
      </c>
      <c r="L207" s="411">
        <f t="shared" si="10"/>
        <v>0</v>
      </c>
      <c r="M207" s="407">
        <f t="shared" si="2"/>
        <v>0</v>
      </c>
      <c r="N207" s="407">
        <f t="shared" si="3"/>
        <v>0</v>
      </c>
      <c r="O207" s="407">
        <f t="shared" si="4"/>
        <v>-0.000000001963149013</v>
      </c>
      <c r="P207" s="368" t="str">
        <f>IF(AND(K207&gt;K206,K207-2+1='Pro Forma Detail'!D$66),E204,)</f>
        <v/>
      </c>
      <c r="Q207" s="369" t="str">
        <f t="shared" si="11"/>
        <v/>
      </c>
      <c r="R207" s="370">
        <f t="shared" si="12"/>
        <v>0</v>
      </c>
      <c r="S207" s="370">
        <f t="shared" si="13"/>
        <v>0</v>
      </c>
      <c r="T207" s="1"/>
    </row>
    <row r="208" ht="12.75" customHeight="1">
      <c r="A208" s="1">
        <v>197.0</v>
      </c>
      <c r="B208" s="408">
        <f t="shared" si="5"/>
        <v>0</v>
      </c>
      <c r="C208" s="408">
        <f t="shared" si="6"/>
        <v>0</v>
      </c>
      <c r="D208" s="409">
        <f t="shared" si="7"/>
        <v>0</v>
      </c>
      <c r="E208" s="176">
        <f t="shared" si="8"/>
        <v>-0.000000001953273911</v>
      </c>
      <c r="F208" s="408">
        <f t="shared" si="14"/>
        <v>16306617.46</v>
      </c>
      <c r="G208" s="408">
        <f t="shared" si="15"/>
        <v>30373143.87</v>
      </c>
      <c r="H208" s="410">
        <f t="shared" si="16"/>
        <v>0.0275</v>
      </c>
      <c r="I208" s="1">
        <f t="shared" si="1"/>
        <v>197</v>
      </c>
      <c r="J208" s="406">
        <f t="shared" si="17"/>
        <v>50161</v>
      </c>
      <c r="K208" s="105">
        <f t="shared" si="9"/>
        <v>17</v>
      </c>
      <c r="L208" s="411">
        <f t="shared" si="10"/>
        <v>0</v>
      </c>
      <c r="M208" s="407">
        <f t="shared" si="2"/>
        <v>0</v>
      </c>
      <c r="N208" s="407">
        <f t="shared" si="3"/>
        <v>0</v>
      </c>
      <c r="O208" s="407">
        <f t="shared" si="4"/>
        <v>-0.000000001953273911</v>
      </c>
      <c r="P208" s="368" t="str">
        <f>IF(AND(K208&gt;K207,K208-2+1='Pro Forma Detail'!D$66),E205,)</f>
        <v/>
      </c>
      <c r="Q208" s="369" t="str">
        <f t="shared" si="11"/>
        <v/>
      </c>
      <c r="R208" s="370">
        <f t="shared" si="12"/>
        <v>0</v>
      </c>
      <c r="S208" s="370">
        <f t="shared" si="13"/>
        <v>0</v>
      </c>
      <c r="T208" s="1"/>
    </row>
    <row r="209" ht="12.75" customHeight="1">
      <c r="A209" s="1">
        <v>198.0</v>
      </c>
      <c r="B209" s="408">
        <f t="shared" si="5"/>
        <v>0</v>
      </c>
      <c r="C209" s="408">
        <f t="shared" si="6"/>
        <v>0</v>
      </c>
      <c r="D209" s="409">
        <f t="shared" si="7"/>
        <v>0</v>
      </c>
      <c r="E209" s="176">
        <f t="shared" si="8"/>
        <v>-0.000000001943376178</v>
      </c>
      <c r="F209" s="408">
        <f t="shared" si="14"/>
        <v>16306617.46</v>
      </c>
      <c r="G209" s="408">
        <f t="shared" si="15"/>
        <v>30373143.87</v>
      </c>
      <c r="H209" s="410">
        <f t="shared" si="16"/>
        <v>0.0275</v>
      </c>
      <c r="I209" s="1">
        <f t="shared" si="1"/>
        <v>198</v>
      </c>
      <c r="J209" s="406">
        <f t="shared" si="17"/>
        <v>50192</v>
      </c>
      <c r="K209" s="105">
        <f t="shared" si="9"/>
        <v>17</v>
      </c>
      <c r="L209" s="411">
        <f t="shared" si="10"/>
        <v>0</v>
      </c>
      <c r="M209" s="407">
        <f t="shared" si="2"/>
        <v>0</v>
      </c>
      <c r="N209" s="407">
        <f t="shared" si="3"/>
        <v>0</v>
      </c>
      <c r="O209" s="407">
        <f t="shared" si="4"/>
        <v>-0.000000001943376178</v>
      </c>
      <c r="P209" s="368" t="str">
        <f>IF(AND(K209&gt;K208,K209-2+1='Pro Forma Detail'!D$66),E206,)</f>
        <v/>
      </c>
      <c r="Q209" s="369" t="str">
        <f t="shared" si="11"/>
        <v/>
      </c>
      <c r="R209" s="370">
        <f t="shared" si="12"/>
        <v>0</v>
      </c>
      <c r="S209" s="370">
        <f t="shared" si="13"/>
        <v>0</v>
      </c>
      <c r="T209" s="1"/>
    </row>
    <row r="210" ht="12.75" customHeight="1">
      <c r="A210" s="1">
        <v>199.0</v>
      </c>
      <c r="B210" s="408">
        <f t="shared" si="5"/>
        <v>0</v>
      </c>
      <c r="C210" s="408">
        <f t="shared" si="6"/>
        <v>0</v>
      </c>
      <c r="D210" s="409">
        <f t="shared" si="7"/>
        <v>0</v>
      </c>
      <c r="E210" s="176">
        <f t="shared" si="8"/>
        <v>-0.000000001933455764</v>
      </c>
      <c r="F210" s="408">
        <f t="shared" si="14"/>
        <v>16306617.46</v>
      </c>
      <c r="G210" s="408">
        <f t="shared" si="15"/>
        <v>30373143.87</v>
      </c>
      <c r="H210" s="410">
        <f t="shared" si="16"/>
        <v>0.0275</v>
      </c>
      <c r="I210" s="1">
        <f t="shared" si="1"/>
        <v>199</v>
      </c>
      <c r="J210" s="406">
        <f t="shared" si="17"/>
        <v>50222</v>
      </c>
      <c r="K210" s="105">
        <f t="shared" si="9"/>
        <v>17</v>
      </c>
      <c r="L210" s="411">
        <f t="shared" si="10"/>
        <v>0</v>
      </c>
      <c r="M210" s="407">
        <f t="shared" si="2"/>
        <v>0</v>
      </c>
      <c r="N210" s="407">
        <f t="shared" si="3"/>
        <v>0</v>
      </c>
      <c r="O210" s="407">
        <f t="shared" si="4"/>
        <v>-0.000000001933455764</v>
      </c>
      <c r="P210" s="368" t="str">
        <f>IF(AND(K210&gt;K209,K210-2+1='Pro Forma Detail'!D$66),E207,)</f>
        <v/>
      </c>
      <c r="Q210" s="369" t="str">
        <f t="shared" si="11"/>
        <v/>
      </c>
      <c r="R210" s="370">
        <f t="shared" si="12"/>
        <v>0</v>
      </c>
      <c r="S210" s="370">
        <f t="shared" si="13"/>
        <v>0</v>
      </c>
      <c r="T210" s="1"/>
    </row>
    <row r="211" ht="12.75" customHeight="1">
      <c r="A211" s="1">
        <v>200.0</v>
      </c>
      <c r="B211" s="408">
        <f t="shared" si="5"/>
        <v>0</v>
      </c>
      <c r="C211" s="408">
        <f t="shared" si="6"/>
        <v>0</v>
      </c>
      <c r="D211" s="409">
        <f t="shared" si="7"/>
        <v>0</v>
      </c>
      <c r="E211" s="176">
        <f t="shared" si="8"/>
        <v>-0.000000001923512615</v>
      </c>
      <c r="F211" s="408">
        <f t="shared" si="14"/>
        <v>16306617.46</v>
      </c>
      <c r="G211" s="408">
        <f t="shared" si="15"/>
        <v>30373143.87</v>
      </c>
      <c r="H211" s="410">
        <f t="shared" si="16"/>
        <v>0.0275</v>
      </c>
      <c r="I211" s="1">
        <f t="shared" si="1"/>
        <v>200</v>
      </c>
      <c r="J211" s="406">
        <f t="shared" si="17"/>
        <v>50253</v>
      </c>
      <c r="K211" s="105">
        <f t="shared" si="9"/>
        <v>17</v>
      </c>
      <c r="L211" s="411">
        <f t="shared" si="10"/>
        <v>0</v>
      </c>
      <c r="M211" s="407">
        <f t="shared" si="2"/>
        <v>0</v>
      </c>
      <c r="N211" s="407">
        <f t="shared" si="3"/>
        <v>0</v>
      </c>
      <c r="O211" s="407">
        <f t="shared" si="4"/>
        <v>-0.000000001923512615</v>
      </c>
      <c r="P211" s="368" t="str">
        <f>IF(AND(K211&gt;K210,K211-2+1='Pro Forma Detail'!D$66),E208,)</f>
        <v/>
      </c>
      <c r="Q211" s="369" t="str">
        <f t="shared" si="11"/>
        <v/>
      </c>
      <c r="R211" s="370">
        <f t="shared" si="12"/>
        <v>0</v>
      </c>
      <c r="S211" s="370">
        <f t="shared" si="13"/>
        <v>0</v>
      </c>
      <c r="T211" s="1"/>
    </row>
    <row r="212" ht="12.75" customHeight="1">
      <c r="A212" s="1">
        <v>201.0</v>
      </c>
      <c r="B212" s="408">
        <f t="shared" si="5"/>
        <v>0</v>
      </c>
      <c r="C212" s="408">
        <f t="shared" si="6"/>
        <v>0</v>
      </c>
      <c r="D212" s="409">
        <f t="shared" si="7"/>
        <v>0</v>
      </c>
      <c r="E212" s="176">
        <f t="shared" si="8"/>
        <v>-0.000000001913546679</v>
      </c>
      <c r="F212" s="408">
        <f t="shared" si="14"/>
        <v>16306617.46</v>
      </c>
      <c r="G212" s="408">
        <f t="shared" si="15"/>
        <v>30373143.87</v>
      </c>
      <c r="H212" s="410">
        <f t="shared" si="16"/>
        <v>0.0275</v>
      </c>
      <c r="I212" s="1">
        <f t="shared" si="1"/>
        <v>201</v>
      </c>
      <c r="J212" s="406">
        <f t="shared" si="17"/>
        <v>50284</v>
      </c>
      <c r="K212" s="105">
        <f t="shared" si="9"/>
        <v>17</v>
      </c>
      <c r="L212" s="411">
        <f t="shared" si="10"/>
        <v>0</v>
      </c>
      <c r="M212" s="407">
        <f t="shared" si="2"/>
        <v>0</v>
      </c>
      <c r="N212" s="407">
        <f t="shared" si="3"/>
        <v>0</v>
      </c>
      <c r="O212" s="407">
        <f t="shared" si="4"/>
        <v>-0.000000001913546679</v>
      </c>
      <c r="P212" s="368" t="str">
        <f>IF(AND(K212&gt;K211,K212-2+1='Pro Forma Detail'!D$66),E209,)</f>
        <v/>
      </c>
      <c r="Q212" s="369" t="str">
        <f t="shared" si="11"/>
        <v/>
      </c>
      <c r="R212" s="370">
        <f t="shared" si="12"/>
        <v>0</v>
      </c>
      <c r="S212" s="370">
        <f t="shared" si="13"/>
        <v>0</v>
      </c>
      <c r="T212" s="1"/>
    </row>
    <row r="213" ht="12.75" customHeight="1">
      <c r="A213" s="1">
        <v>202.0</v>
      </c>
      <c r="B213" s="408">
        <f t="shared" si="5"/>
        <v>0</v>
      </c>
      <c r="C213" s="408">
        <f t="shared" si="6"/>
        <v>0</v>
      </c>
      <c r="D213" s="409">
        <f t="shared" si="7"/>
        <v>0</v>
      </c>
      <c r="E213" s="176">
        <f t="shared" si="8"/>
        <v>-0.000000001903557905</v>
      </c>
      <c r="F213" s="408">
        <f t="shared" si="14"/>
        <v>16306617.46</v>
      </c>
      <c r="G213" s="408">
        <f t="shared" si="15"/>
        <v>30373143.87</v>
      </c>
      <c r="H213" s="410">
        <f t="shared" si="16"/>
        <v>0.0275</v>
      </c>
      <c r="I213" s="1">
        <f t="shared" si="1"/>
        <v>202</v>
      </c>
      <c r="J213" s="406">
        <f t="shared" si="17"/>
        <v>50314</v>
      </c>
      <c r="K213" s="105">
        <f t="shared" si="9"/>
        <v>17</v>
      </c>
      <c r="L213" s="411">
        <f t="shared" si="10"/>
        <v>0</v>
      </c>
      <c r="M213" s="407">
        <f t="shared" si="2"/>
        <v>0</v>
      </c>
      <c r="N213" s="407">
        <f t="shared" si="3"/>
        <v>0</v>
      </c>
      <c r="O213" s="407">
        <f t="shared" si="4"/>
        <v>-0.000000001903557905</v>
      </c>
      <c r="P213" s="368" t="str">
        <f>IF(AND(K213&gt;K212,K213-2+1='Pro Forma Detail'!D$66),E210,)</f>
        <v/>
      </c>
      <c r="Q213" s="369" t="str">
        <f t="shared" si="11"/>
        <v/>
      </c>
      <c r="R213" s="370">
        <f t="shared" si="12"/>
        <v>0</v>
      </c>
      <c r="S213" s="370">
        <f t="shared" si="13"/>
        <v>0</v>
      </c>
      <c r="T213" s="1"/>
    </row>
    <row r="214" ht="12.75" customHeight="1">
      <c r="A214" s="1">
        <v>203.0</v>
      </c>
      <c r="B214" s="408">
        <f t="shared" si="5"/>
        <v>0</v>
      </c>
      <c r="C214" s="408">
        <f t="shared" si="6"/>
        <v>0</v>
      </c>
      <c r="D214" s="409">
        <f t="shared" si="7"/>
        <v>0</v>
      </c>
      <c r="E214" s="176">
        <f t="shared" si="8"/>
        <v>-0.00000000189354624</v>
      </c>
      <c r="F214" s="408">
        <f t="shared" si="14"/>
        <v>16306617.46</v>
      </c>
      <c r="G214" s="408">
        <f t="shared" si="15"/>
        <v>30373143.87</v>
      </c>
      <c r="H214" s="410">
        <f t="shared" si="16"/>
        <v>0.0275</v>
      </c>
      <c r="I214" s="1">
        <f t="shared" si="1"/>
        <v>203</v>
      </c>
      <c r="J214" s="406">
        <f t="shared" si="17"/>
        <v>50345</v>
      </c>
      <c r="K214" s="105">
        <f t="shared" si="9"/>
        <v>17</v>
      </c>
      <c r="L214" s="411">
        <f t="shared" si="10"/>
        <v>0</v>
      </c>
      <c r="M214" s="407">
        <f t="shared" si="2"/>
        <v>0</v>
      </c>
      <c r="N214" s="407">
        <f t="shared" si="3"/>
        <v>0</v>
      </c>
      <c r="O214" s="407">
        <f t="shared" si="4"/>
        <v>-0.00000000189354624</v>
      </c>
      <c r="P214" s="368" t="str">
        <f>IF(AND(K214&gt;K213,K214-2+1='Pro Forma Detail'!D$66),E211,)</f>
        <v/>
      </c>
      <c r="Q214" s="369" t="str">
        <f t="shared" si="11"/>
        <v/>
      </c>
      <c r="R214" s="370">
        <f t="shared" si="12"/>
        <v>0</v>
      </c>
      <c r="S214" s="370">
        <f t="shared" si="13"/>
        <v>0</v>
      </c>
      <c r="T214" s="1"/>
    </row>
    <row r="215" ht="12.75" customHeight="1">
      <c r="A215" s="1">
        <v>204.0</v>
      </c>
      <c r="B215" s="408">
        <f t="shared" si="5"/>
        <v>0</v>
      </c>
      <c r="C215" s="408">
        <f t="shared" si="6"/>
        <v>0</v>
      </c>
      <c r="D215" s="409">
        <f t="shared" si="7"/>
        <v>0</v>
      </c>
      <c r="E215" s="176">
        <f t="shared" si="8"/>
        <v>-0.000000001883511632</v>
      </c>
      <c r="F215" s="408">
        <f t="shared" si="14"/>
        <v>16306617.46</v>
      </c>
      <c r="G215" s="408">
        <f t="shared" si="15"/>
        <v>30373143.87</v>
      </c>
      <c r="H215" s="410">
        <f t="shared" si="16"/>
        <v>0.0275</v>
      </c>
      <c r="I215" s="1">
        <f t="shared" si="1"/>
        <v>204</v>
      </c>
      <c r="J215" s="406">
        <f t="shared" si="17"/>
        <v>50375</v>
      </c>
      <c r="K215" s="105">
        <f t="shared" si="9"/>
        <v>17</v>
      </c>
      <c r="L215" s="411">
        <f t="shared" si="10"/>
        <v>0</v>
      </c>
      <c r="M215" s="407">
        <f t="shared" si="2"/>
        <v>0</v>
      </c>
      <c r="N215" s="407">
        <f t="shared" si="3"/>
        <v>0</v>
      </c>
      <c r="O215" s="407">
        <f t="shared" si="4"/>
        <v>-0.000000001883511632</v>
      </c>
      <c r="P215" s="368" t="str">
        <f>IF(AND(K215&gt;K214,K215-2+1='Pro Forma Detail'!D$66),E212,)</f>
        <v/>
      </c>
      <c r="Q215" s="369" t="str">
        <f t="shared" si="11"/>
        <v/>
      </c>
      <c r="R215" s="370">
        <f t="shared" si="12"/>
        <v>0</v>
      </c>
      <c r="S215" s="370">
        <f t="shared" si="13"/>
        <v>0</v>
      </c>
      <c r="T215" s="1"/>
    </row>
    <row r="216" ht="12.75" customHeight="1">
      <c r="A216" s="1">
        <v>205.0</v>
      </c>
      <c r="B216" s="408">
        <f t="shared" si="5"/>
        <v>0</v>
      </c>
      <c r="C216" s="408">
        <f t="shared" si="6"/>
        <v>0</v>
      </c>
      <c r="D216" s="409">
        <f t="shared" si="7"/>
        <v>0</v>
      </c>
      <c r="E216" s="176">
        <f t="shared" si="8"/>
        <v>-0.000000001873454028</v>
      </c>
      <c r="F216" s="408">
        <f t="shared" si="14"/>
        <v>16306617.46</v>
      </c>
      <c r="G216" s="408">
        <f t="shared" si="15"/>
        <v>30373143.87</v>
      </c>
      <c r="H216" s="410">
        <f t="shared" si="16"/>
        <v>0.0275</v>
      </c>
      <c r="I216" s="1">
        <f t="shared" si="1"/>
        <v>205</v>
      </c>
      <c r="J216" s="406">
        <f t="shared" si="17"/>
        <v>50406</v>
      </c>
      <c r="K216" s="105">
        <f t="shared" si="9"/>
        <v>18</v>
      </c>
      <c r="L216" s="411">
        <f t="shared" si="10"/>
        <v>0</v>
      </c>
      <c r="M216" s="407">
        <f t="shared" si="2"/>
        <v>0</v>
      </c>
      <c r="N216" s="407">
        <f t="shared" si="3"/>
        <v>0</v>
      </c>
      <c r="O216" s="407">
        <f t="shared" si="4"/>
        <v>-0.000000001873454028</v>
      </c>
      <c r="P216" s="368" t="str">
        <f>IF(AND(K216&gt;K215,K216-2+1='Pro Forma Detail'!D$66),E213,)</f>
        <v/>
      </c>
      <c r="Q216" s="369" t="str">
        <f t="shared" si="11"/>
        <v/>
      </c>
      <c r="R216" s="370">
        <f t="shared" si="12"/>
        <v>0</v>
      </c>
      <c r="S216" s="370">
        <f t="shared" si="13"/>
        <v>0</v>
      </c>
      <c r="T216" s="1"/>
    </row>
    <row r="217" ht="12.75" customHeight="1">
      <c r="A217" s="1">
        <v>206.0</v>
      </c>
      <c r="B217" s="408">
        <f t="shared" si="5"/>
        <v>0</v>
      </c>
      <c r="C217" s="408">
        <f t="shared" si="6"/>
        <v>0</v>
      </c>
      <c r="D217" s="409">
        <f t="shared" si="7"/>
        <v>0</v>
      </c>
      <c r="E217" s="176">
        <f t="shared" si="8"/>
        <v>-0.000000001863373375</v>
      </c>
      <c r="F217" s="408">
        <f t="shared" si="14"/>
        <v>16306617.46</v>
      </c>
      <c r="G217" s="408">
        <f t="shared" si="15"/>
        <v>30373143.87</v>
      </c>
      <c r="H217" s="410">
        <f t="shared" si="16"/>
        <v>0.0275</v>
      </c>
      <c r="I217" s="1">
        <f t="shared" si="1"/>
        <v>206</v>
      </c>
      <c r="J217" s="406">
        <f t="shared" si="17"/>
        <v>50437</v>
      </c>
      <c r="K217" s="105">
        <f t="shared" si="9"/>
        <v>18</v>
      </c>
      <c r="L217" s="411">
        <f t="shared" si="10"/>
        <v>0</v>
      </c>
      <c r="M217" s="407">
        <f t="shared" si="2"/>
        <v>0</v>
      </c>
      <c r="N217" s="407">
        <f t="shared" si="3"/>
        <v>0</v>
      </c>
      <c r="O217" s="407">
        <f t="shared" si="4"/>
        <v>-0.000000001863373375</v>
      </c>
      <c r="P217" s="368" t="str">
        <f>IF(AND(K217&gt;K216,K217-2+1='Pro Forma Detail'!D$66),E214,)</f>
        <v/>
      </c>
      <c r="Q217" s="369" t="str">
        <f t="shared" si="11"/>
        <v/>
      </c>
      <c r="R217" s="370">
        <f t="shared" si="12"/>
        <v>0</v>
      </c>
      <c r="S217" s="370">
        <f t="shared" si="13"/>
        <v>0</v>
      </c>
      <c r="T217" s="1"/>
    </row>
    <row r="218" ht="12.75" customHeight="1">
      <c r="A218" s="1">
        <v>207.0</v>
      </c>
      <c r="B218" s="408">
        <f t="shared" si="5"/>
        <v>0</v>
      </c>
      <c r="C218" s="408">
        <f t="shared" si="6"/>
        <v>0</v>
      </c>
      <c r="D218" s="409">
        <f t="shared" si="7"/>
        <v>0</v>
      </c>
      <c r="E218" s="176">
        <f t="shared" si="8"/>
        <v>-0.00000000185326962</v>
      </c>
      <c r="F218" s="408">
        <f t="shared" si="14"/>
        <v>16306617.46</v>
      </c>
      <c r="G218" s="408">
        <f t="shared" si="15"/>
        <v>30373143.87</v>
      </c>
      <c r="H218" s="410">
        <f t="shared" si="16"/>
        <v>0.0275</v>
      </c>
      <c r="I218" s="1">
        <f t="shared" si="1"/>
        <v>207</v>
      </c>
      <c r="J218" s="406">
        <f t="shared" si="17"/>
        <v>50465</v>
      </c>
      <c r="K218" s="105">
        <f t="shared" si="9"/>
        <v>18</v>
      </c>
      <c r="L218" s="411">
        <f t="shared" si="10"/>
        <v>0</v>
      </c>
      <c r="M218" s="407">
        <f t="shared" si="2"/>
        <v>0</v>
      </c>
      <c r="N218" s="407">
        <f t="shared" si="3"/>
        <v>0</v>
      </c>
      <c r="O218" s="407">
        <f t="shared" si="4"/>
        <v>-0.00000000185326962</v>
      </c>
      <c r="P218" s="368" t="str">
        <f>IF(AND(K218&gt;K217,K218-2+1='Pro Forma Detail'!D$66),E215,)</f>
        <v/>
      </c>
      <c r="Q218" s="369" t="str">
        <f t="shared" si="11"/>
        <v/>
      </c>
      <c r="R218" s="370">
        <f t="shared" si="12"/>
        <v>0</v>
      </c>
      <c r="S218" s="370">
        <f t="shared" si="13"/>
        <v>0</v>
      </c>
      <c r="T218" s="1"/>
    </row>
    <row r="219" ht="12.75" customHeight="1">
      <c r="A219" s="1">
        <v>208.0</v>
      </c>
      <c r="B219" s="408">
        <f t="shared" si="5"/>
        <v>0</v>
      </c>
      <c r="C219" s="408">
        <f t="shared" si="6"/>
        <v>0</v>
      </c>
      <c r="D219" s="409">
        <f t="shared" si="7"/>
        <v>0</v>
      </c>
      <c r="E219" s="176">
        <f t="shared" si="8"/>
        <v>-0.000000001843142712</v>
      </c>
      <c r="F219" s="408">
        <f t="shared" si="14"/>
        <v>16306617.46</v>
      </c>
      <c r="G219" s="408">
        <f t="shared" si="15"/>
        <v>30373143.87</v>
      </c>
      <c r="H219" s="410">
        <f t="shared" si="16"/>
        <v>0.0275</v>
      </c>
      <c r="I219" s="1">
        <f t="shared" si="1"/>
        <v>208</v>
      </c>
      <c r="J219" s="406">
        <f t="shared" si="17"/>
        <v>50496</v>
      </c>
      <c r="K219" s="105">
        <f t="shared" si="9"/>
        <v>18</v>
      </c>
      <c r="L219" s="411">
        <f t="shared" si="10"/>
        <v>0</v>
      </c>
      <c r="M219" s="407">
        <f t="shared" si="2"/>
        <v>0</v>
      </c>
      <c r="N219" s="407">
        <f t="shared" si="3"/>
        <v>0</v>
      </c>
      <c r="O219" s="407">
        <f t="shared" si="4"/>
        <v>-0.000000001843142712</v>
      </c>
      <c r="P219" s="368" t="str">
        <f>IF(AND(K219&gt;K218,K219-2+1='Pro Forma Detail'!D$66),E216,)</f>
        <v/>
      </c>
      <c r="Q219" s="369" t="str">
        <f t="shared" si="11"/>
        <v/>
      </c>
      <c r="R219" s="370">
        <f t="shared" si="12"/>
        <v>0</v>
      </c>
      <c r="S219" s="370">
        <f t="shared" si="13"/>
        <v>0</v>
      </c>
      <c r="T219" s="1"/>
    </row>
    <row r="220" ht="12.75" customHeight="1">
      <c r="A220" s="1">
        <v>209.0</v>
      </c>
      <c r="B220" s="408">
        <f t="shared" si="5"/>
        <v>0</v>
      </c>
      <c r="C220" s="408">
        <f t="shared" si="6"/>
        <v>0</v>
      </c>
      <c r="D220" s="409">
        <f t="shared" si="7"/>
        <v>0</v>
      </c>
      <c r="E220" s="176">
        <f t="shared" si="8"/>
        <v>-0.000000001832992595</v>
      </c>
      <c r="F220" s="408">
        <f t="shared" si="14"/>
        <v>16306617.46</v>
      </c>
      <c r="G220" s="408">
        <f t="shared" si="15"/>
        <v>30373143.87</v>
      </c>
      <c r="H220" s="410">
        <f t="shared" si="16"/>
        <v>0.0275</v>
      </c>
      <c r="I220" s="1">
        <f t="shared" si="1"/>
        <v>209</v>
      </c>
      <c r="J220" s="406">
        <f t="shared" si="17"/>
        <v>50526</v>
      </c>
      <c r="K220" s="105">
        <f t="shared" si="9"/>
        <v>18</v>
      </c>
      <c r="L220" s="411">
        <f t="shared" si="10"/>
        <v>0</v>
      </c>
      <c r="M220" s="407">
        <f t="shared" si="2"/>
        <v>0</v>
      </c>
      <c r="N220" s="407">
        <f t="shared" si="3"/>
        <v>0</v>
      </c>
      <c r="O220" s="407">
        <f t="shared" si="4"/>
        <v>-0.000000001832992595</v>
      </c>
      <c r="P220" s="368" t="str">
        <f>IF(AND(K220&gt;K219,K220-2+1='Pro Forma Detail'!D$66),E217,)</f>
        <v/>
      </c>
      <c r="Q220" s="369" t="str">
        <f t="shared" si="11"/>
        <v/>
      </c>
      <c r="R220" s="370">
        <f t="shared" si="12"/>
        <v>0</v>
      </c>
      <c r="S220" s="370">
        <f t="shared" si="13"/>
        <v>0</v>
      </c>
      <c r="T220" s="1"/>
    </row>
    <row r="221" ht="12.75" customHeight="1">
      <c r="A221" s="1">
        <v>210.0</v>
      </c>
      <c r="B221" s="408">
        <f t="shared" si="5"/>
        <v>0</v>
      </c>
      <c r="C221" s="408">
        <f t="shared" si="6"/>
        <v>0</v>
      </c>
      <c r="D221" s="409">
        <f t="shared" si="7"/>
        <v>0</v>
      </c>
      <c r="E221" s="176">
        <f t="shared" si="8"/>
        <v>-0.000000001822819218</v>
      </c>
      <c r="F221" s="408">
        <f t="shared" si="14"/>
        <v>16306617.46</v>
      </c>
      <c r="G221" s="408">
        <f t="shared" si="15"/>
        <v>30373143.87</v>
      </c>
      <c r="H221" s="410">
        <f t="shared" si="16"/>
        <v>0.0275</v>
      </c>
      <c r="I221" s="1">
        <f t="shared" si="1"/>
        <v>210</v>
      </c>
      <c r="J221" s="406">
        <f t="shared" si="17"/>
        <v>50557</v>
      </c>
      <c r="K221" s="105">
        <f t="shared" si="9"/>
        <v>18</v>
      </c>
      <c r="L221" s="411">
        <f t="shared" si="10"/>
        <v>0</v>
      </c>
      <c r="M221" s="407">
        <f t="shared" si="2"/>
        <v>0</v>
      </c>
      <c r="N221" s="407">
        <f t="shared" si="3"/>
        <v>0</v>
      </c>
      <c r="O221" s="407">
        <f t="shared" si="4"/>
        <v>-0.000000001822819218</v>
      </c>
      <c r="P221" s="368" t="str">
        <f>IF(AND(K221&gt;K220,K221-2+1='Pro Forma Detail'!D$66),E218,)</f>
        <v/>
      </c>
      <c r="Q221" s="369" t="str">
        <f t="shared" si="11"/>
        <v/>
      </c>
      <c r="R221" s="370">
        <f t="shared" si="12"/>
        <v>0</v>
      </c>
      <c r="S221" s="370">
        <f t="shared" si="13"/>
        <v>0</v>
      </c>
      <c r="T221" s="1"/>
    </row>
    <row r="222" ht="12.75" customHeight="1">
      <c r="A222" s="1">
        <v>211.0</v>
      </c>
      <c r="B222" s="408">
        <f t="shared" si="5"/>
        <v>0</v>
      </c>
      <c r="C222" s="408">
        <f t="shared" si="6"/>
        <v>0</v>
      </c>
      <c r="D222" s="409">
        <f t="shared" si="7"/>
        <v>0</v>
      </c>
      <c r="E222" s="176">
        <f t="shared" si="8"/>
        <v>-0.000000001812622527</v>
      </c>
      <c r="F222" s="408">
        <f t="shared" si="14"/>
        <v>16306617.46</v>
      </c>
      <c r="G222" s="408">
        <f t="shared" si="15"/>
        <v>30373143.87</v>
      </c>
      <c r="H222" s="410">
        <f t="shared" si="16"/>
        <v>0.0275</v>
      </c>
      <c r="I222" s="1">
        <f t="shared" si="1"/>
        <v>211</v>
      </c>
      <c r="J222" s="406">
        <f t="shared" si="17"/>
        <v>50587</v>
      </c>
      <c r="K222" s="105">
        <f t="shared" si="9"/>
        <v>18</v>
      </c>
      <c r="L222" s="411">
        <f t="shared" si="10"/>
        <v>0</v>
      </c>
      <c r="M222" s="407">
        <f t="shared" si="2"/>
        <v>0</v>
      </c>
      <c r="N222" s="407">
        <f t="shared" si="3"/>
        <v>0</v>
      </c>
      <c r="O222" s="407">
        <f t="shared" si="4"/>
        <v>-0.000000001812622527</v>
      </c>
      <c r="P222" s="368" t="str">
        <f>IF(AND(K222&gt;K221,K222-2+1='Pro Forma Detail'!D$66),E219,)</f>
        <v/>
      </c>
      <c r="Q222" s="369" t="str">
        <f t="shared" si="11"/>
        <v/>
      </c>
      <c r="R222" s="370">
        <f t="shared" si="12"/>
        <v>0</v>
      </c>
      <c r="S222" s="370">
        <f t="shared" si="13"/>
        <v>0</v>
      </c>
      <c r="T222" s="1"/>
    </row>
    <row r="223" ht="12.75" customHeight="1">
      <c r="A223" s="1">
        <v>212.0</v>
      </c>
      <c r="B223" s="408">
        <f t="shared" si="5"/>
        <v>0</v>
      </c>
      <c r="C223" s="408">
        <f t="shared" si="6"/>
        <v>0</v>
      </c>
      <c r="D223" s="409">
        <f t="shared" si="7"/>
        <v>0</v>
      </c>
      <c r="E223" s="176">
        <f t="shared" si="8"/>
        <v>-0.000000001802402468</v>
      </c>
      <c r="F223" s="408">
        <f t="shared" si="14"/>
        <v>16306617.46</v>
      </c>
      <c r="G223" s="408">
        <f t="shared" si="15"/>
        <v>30373143.87</v>
      </c>
      <c r="H223" s="410">
        <f t="shared" si="16"/>
        <v>0.0275</v>
      </c>
      <c r="I223" s="1">
        <f t="shared" si="1"/>
        <v>212</v>
      </c>
      <c r="J223" s="406">
        <f t="shared" si="17"/>
        <v>50618</v>
      </c>
      <c r="K223" s="105">
        <f t="shared" si="9"/>
        <v>18</v>
      </c>
      <c r="L223" s="411">
        <f t="shared" si="10"/>
        <v>0</v>
      </c>
      <c r="M223" s="407">
        <f t="shared" si="2"/>
        <v>0</v>
      </c>
      <c r="N223" s="407">
        <f t="shared" si="3"/>
        <v>0</v>
      </c>
      <c r="O223" s="407">
        <f t="shared" si="4"/>
        <v>-0.000000001802402468</v>
      </c>
      <c r="P223" s="368" t="str">
        <f>IF(AND(K223&gt;K222,K223-2+1='Pro Forma Detail'!D$66),E220,)</f>
        <v/>
      </c>
      <c r="Q223" s="369" t="str">
        <f t="shared" si="11"/>
        <v/>
      </c>
      <c r="R223" s="370">
        <f t="shared" si="12"/>
        <v>0</v>
      </c>
      <c r="S223" s="370">
        <f t="shared" si="13"/>
        <v>0</v>
      </c>
      <c r="T223" s="1"/>
    </row>
    <row r="224" ht="12.75" customHeight="1">
      <c r="A224" s="1">
        <v>213.0</v>
      </c>
      <c r="B224" s="408">
        <f t="shared" si="5"/>
        <v>0</v>
      </c>
      <c r="C224" s="408">
        <f t="shared" si="6"/>
        <v>0</v>
      </c>
      <c r="D224" s="409">
        <f t="shared" si="7"/>
        <v>0</v>
      </c>
      <c r="E224" s="176">
        <f t="shared" si="8"/>
        <v>-0.000000001792158989</v>
      </c>
      <c r="F224" s="408">
        <f t="shared" si="14"/>
        <v>16306617.46</v>
      </c>
      <c r="G224" s="408">
        <f t="shared" si="15"/>
        <v>30373143.87</v>
      </c>
      <c r="H224" s="410">
        <f t="shared" si="16"/>
        <v>0.0275</v>
      </c>
      <c r="I224" s="1">
        <f t="shared" si="1"/>
        <v>213</v>
      </c>
      <c r="J224" s="406">
        <f t="shared" si="17"/>
        <v>50649</v>
      </c>
      <c r="K224" s="105">
        <f t="shared" si="9"/>
        <v>18</v>
      </c>
      <c r="L224" s="411">
        <f t="shared" si="10"/>
        <v>0</v>
      </c>
      <c r="M224" s="407">
        <f t="shared" si="2"/>
        <v>0</v>
      </c>
      <c r="N224" s="407">
        <f t="shared" si="3"/>
        <v>0</v>
      </c>
      <c r="O224" s="407">
        <f t="shared" si="4"/>
        <v>-0.000000001792158989</v>
      </c>
      <c r="P224" s="368" t="str">
        <f>IF(AND(K224&gt;K223,K224-2+1='Pro Forma Detail'!D$66),E221,)</f>
        <v/>
      </c>
      <c r="Q224" s="369" t="str">
        <f t="shared" si="11"/>
        <v/>
      </c>
      <c r="R224" s="370">
        <f t="shared" si="12"/>
        <v>0</v>
      </c>
      <c r="S224" s="370">
        <f t="shared" si="13"/>
        <v>0</v>
      </c>
      <c r="T224" s="1"/>
    </row>
    <row r="225" ht="12.75" customHeight="1">
      <c r="A225" s="1">
        <v>214.0</v>
      </c>
      <c r="B225" s="408">
        <f t="shared" si="5"/>
        <v>0</v>
      </c>
      <c r="C225" s="408">
        <f t="shared" si="6"/>
        <v>0</v>
      </c>
      <c r="D225" s="409">
        <f t="shared" si="7"/>
        <v>0</v>
      </c>
      <c r="E225" s="176">
        <f t="shared" si="8"/>
        <v>-0.000000001781892035</v>
      </c>
      <c r="F225" s="408">
        <f t="shared" si="14"/>
        <v>16306617.46</v>
      </c>
      <c r="G225" s="408">
        <f t="shared" si="15"/>
        <v>30373143.87</v>
      </c>
      <c r="H225" s="410">
        <f t="shared" si="16"/>
        <v>0.0275</v>
      </c>
      <c r="I225" s="1">
        <f t="shared" si="1"/>
        <v>214</v>
      </c>
      <c r="J225" s="406">
        <f t="shared" si="17"/>
        <v>50679</v>
      </c>
      <c r="K225" s="105">
        <f t="shared" si="9"/>
        <v>18</v>
      </c>
      <c r="L225" s="411">
        <f t="shared" si="10"/>
        <v>0</v>
      </c>
      <c r="M225" s="407">
        <f t="shared" si="2"/>
        <v>0</v>
      </c>
      <c r="N225" s="407">
        <f t="shared" si="3"/>
        <v>0</v>
      </c>
      <c r="O225" s="407">
        <f t="shared" si="4"/>
        <v>-0.000000001781892035</v>
      </c>
      <c r="P225" s="368" t="str">
        <f>IF(AND(K225&gt;K224,K225-2+1='Pro Forma Detail'!D$66),E222,)</f>
        <v/>
      </c>
      <c r="Q225" s="369" t="str">
        <f t="shared" si="11"/>
        <v/>
      </c>
      <c r="R225" s="370">
        <f t="shared" si="12"/>
        <v>0</v>
      </c>
      <c r="S225" s="370">
        <f t="shared" si="13"/>
        <v>0</v>
      </c>
      <c r="T225" s="1"/>
    </row>
    <row r="226" ht="12.75" customHeight="1">
      <c r="A226" s="1">
        <v>215.0</v>
      </c>
      <c r="B226" s="408">
        <f t="shared" si="5"/>
        <v>0</v>
      </c>
      <c r="C226" s="408">
        <f t="shared" si="6"/>
        <v>0</v>
      </c>
      <c r="D226" s="409">
        <f t="shared" si="7"/>
        <v>0</v>
      </c>
      <c r="E226" s="176">
        <f t="shared" si="8"/>
        <v>-0.000000001771601552</v>
      </c>
      <c r="F226" s="408">
        <f t="shared" si="14"/>
        <v>16306617.46</v>
      </c>
      <c r="G226" s="408">
        <f t="shared" si="15"/>
        <v>30373143.87</v>
      </c>
      <c r="H226" s="410">
        <f t="shared" si="16"/>
        <v>0.0275</v>
      </c>
      <c r="I226" s="1">
        <f t="shared" si="1"/>
        <v>215</v>
      </c>
      <c r="J226" s="406">
        <f t="shared" si="17"/>
        <v>50710</v>
      </c>
      <c r="K226" s="105">
        <f t="shared" si="9"/>
        <v>18</v>
      </c>
      <c r="L226" s="411">
        <f t="shared" si="10"/>
        <v>0</v>
      </c>
      <c r="M226" s="407">
        <f t="shared" si="2"/>
        <v>0</v>
      </c>
      <c r="N226" s="407">
        <f t="shared" si="3"/>
        <v>0</v>
      </c>
      <c r="O226" s="407">
        <f t="shared" si="4"/>
        <v>-0.000000001771601552</v>
      </c>
      <c r="P226" s="368" t="str">
        <f>IF(AND(K226&gt;K225,K226-2+1='Pro Forma Detail'!D$66),E223,)</f>
        <v/>
      </c>
      <c r="Q226" s="369" t="str">
        <f t="shared" si="11"/>
        <v/>
      </c>
      <c r="R226" s="370">
        <f t="shared" si="12"/>
        <v>0</v>
      </c>
      <c r="S226" s="370">
        <f t="shared" si="13"/>
        <v>0</v>
      </c>
      <c r="T226" s="1"/>
    </row>
    <row r="227" ht="12.75" customHeight="1">
      <c r="A227" s="1">
        <v>216.0</v>
      </c>
      <c r="B227" s="408">
        <f t="shared" si="5"/>
        <v>0</v>
      </c>
      <c r="C227" s="408">
        <f t="shared" si="6"/>
        <v>0</v>
      </c>
      <c r="D227" s="409">
        <f t="shared" si="7"/>
        <v>0</v>
      </c>
      <c r="E227" s="176">
        <f t="shared" si="8"/>
        <v>-0.000000001761287488</v>
      </c>
      <c r="F227" s="408">
        <f t="shared" si="14"/>
        <v>16306617.46</v>
      </c>
      <c r="G227" s="408">
        <f t="shared" si="15"/>
        <v>30373143.87</v>
      </c>
      <c r="H227" s="410">
        <f t="shared" si="16"/>
        <v>0.0275</v>
      </c>
      <c r="I227" s="1">
        <f t="shared" si="1"/>
        <v>216</v>
      </c>
      <c r="J227" s="406">
        <f t="shared" si="17"/>
        <v>50740</v>
      </c>
      <c r="K227" s="105">
        <f t="shared" si="9"/>
        <v>18</v>
      </c>
      <c r="L227" s="411">
        <f t="shared" si="10"/>
        <v>0</v>
      </c>
      <c r="M227" s="407">
        <f t="shared" si="2"/>
        <v>0</v>
      </c>
      <c r="N227" s="407">
        <f t="shared" si="3"/>
        <v>0</v>
      </c>
      <c r="O227" s="407">
        <f t="shared" si="4"/>
        <v>-0.000000001761287488</v>
      </c>
      <c r="P227" s="368" t="str">
        <f>IF(AND(K227&gt;K226,K227-2+1='Pro Forma Detail'!D$66),E224,)</f>
        <v/>
      </c>
      <c r="Q227" s="369" t="str">
        <f t="shared" si="11"/>
        <v/>
      </c>
      <c r="R227" s="370">
        <f t="shared" si="12"/>
        <v>0</v>
      </c>
      <c r="S227" s="370">
        <f t="shared" si="13"/>
        <v>0</v>
      </c>
      <c r="T227" s="1"/>
    </row>
    <row r="228" ht="12.75" customHeight="1">
      <c r="A228" s="1">
        <v>217.0</v>
      </c>
      <c r="B228" s="408">
        <f t="shared" si="5"/>
        <v>0</v>
      </c>
      <c r="C228" s="408">
        <f t="shared" si="6"/>
        <v>0</v>
      </c>
      <c r="D228" s="409">
        <f t="shared" si="7"/>
        <v>0</v>
      </c>
      <c r="E228" s="176">
        <f t="shared" si="8"/>
        <v>-0.000000001750949786</v>
      </c>
      <c r="F228" s="408">
        <f t="shared" si="14"/>
        <v>16306617.46</v>
      </c>
      <c r="G228" s="408">
        <f t="shared" si="15"/>
        <v>30373143.87</v>
      </c>
      <c r="H228" s="410">
        <f t="shared" si="16"/>
        <v>0.0275</v>
      </c>
      <c r="I228" s="1">
        <f t="shared" si="1"/>
        <v>217</v>
      </c>
      <c r="J228" s="406">
        <f t="shared" si="17"/>
        <v>50771</v>
      </c>
      <c r="K228" s="105">
        <f t="shared" si="9"/>
        <v>19</v>
      </c>
      <c r="L228" s="411">
        <f t="shared" si="10"/>
        <v>0</v>
      </c>
      <c r="M228" s="407">
        <f t="shared" si="2"/>
        <v>0</v>
      </c>
      <c r="N228" s="407">
        <f t="shared" si="3"/>
        <v>0</v>
      </c>
      <c r="O228" s="407">
        <f t="shared" si="4"/>
        <v>-0.000000001750949786</v>
      </c>
      <c r="P228" s="368" t="str">
        <f>IF(AND(K228&gt;K227,K228-2+1='Pro Forma Detail'!D$66),E225,)</f>
        <v/>
      </c>
      <c r="Q228" s="369" t="str">
        <f t="shared" si="11"/>
        <v/>
      </c>
      <c r="R228" s="370">
        <f t="shared" si="12"/>
        <v>0</v>
      </c>
      <c r="S228" s="370">
        <f t="shared" si="13"/>
        <v>0</v>
      </c>
      <c r="T228" s="1"/>
    </row>
    <row r="229" ht="12.75" customHeight="1">
      <c r="A229" s="1">
        <v>218.0</v>
      </c>
      <c r="B229" s="408">
        <f t="shared" si="5"/>
        <v>0</v>
      </c>
      <c r="C229" s="408">
        <f t="shared" si="6"/>
        <v>0</v>
      </c>
      <c r="D229" s="409">
        <f t="shared" si="7"/>
        <v>0</v>
      </c>
      <c r="E229" s="176">
        <f t="shared" si="8"/>
        <v>-0.000000001740588394</v>
      </c>
      <c r="F229" s="408">
        <f t="shared" si="14"/>
        <v>16306617.46</v>
      </c>
      <c r="G229" s="408">
        <f t="shared" si="15"/>
        <v>30373143.87</v>
      </c>
      <c r="H229" s="410">
        <f t="shared" si="16"/>
        <v>0.0275</v>
      </c>
      <c r="I229" s="1">
        <f t="shared" si="1"/>
        <v>218</v>
      </c>
      <c r="J229" s="406">
        <f t="shared" si="17"/>
        <v>50802</v>
      </c>
      <c r="K229" s="105">
        <f t="shared" si="9"/>
        <v>19</v>
      </c>
      <c r="L229" s="411">
        <f t="shared" si="10"/>
        <v>0</v>
      </c>
      <c r="M229" s="407">
        <f t="shared" si="2"/>
        <v>0</v>
      </c>
      <c r="N229" s="407">
        <f t="shared" si="3"/>
        <v>0</v>
      </c>
      <c r="O229" s="407">
        <f t="shared" si="4"/>
        <v>-0.000000001740588394</v>
      </c>
      <c r="P229" s="368" t="str">
        <f>IF(AND(K229&gt;K228,K229-2+1='Pro Forma Detail'!D$66),E226,)</f>
        <v/>
      </c>
      <c r="Q229" s="369" t="str">
        <f t="shared" si="11"/>
        <v/>
      </c>
      <c r="R229" s="370">
        <f t="shared" si="12"/>
        <v>0</v>
      </c>
      <c r="S229" s="370">
        <f t="shared" si="13"/>
        <v>0</v>
      </c>
      <c r="T229" s="1"/>
    </row>
    <row r="230" ht="12.75" customHeight="1">
      <c r="A230" s="1">
        <v>219.0</v>
      </c>
      <c r="B230" s="408">
        <f t="shared" si="5"/>
        <v>0</v>
      </c>
      <c r="C230" s="408">
        <f t="shared" si="6"/>
        <v>0</v>
      </c>
      <c r="D230" s="409">
        <f t="shared" si="7"/>
        <v>0</v>
      </c>
      <c r="E230" s="176">
        <f t="shared" si="8"/>
        <v>-0.000000001730203258</v>
      </c>
      <c r="F230" s="408">
        <f t="shared" si="14"/>
        <v>16306617.46</v>
      </c>
      <c r="G230" s="408">
        <f t="shared" si="15"/>
        <v>30373143.87</v>
      </c>
      <c r="H230" s="410">
        <f t="shared" si="16"/>
        <v>0.0275</v>
      </c>
      <c r="I230" s="1">
        <f t="shared" si="1"/>
        <v>219</v>
      </c>
      <c r="J230" s="406">
        <f t="shared" si="17"/>
        <v>50830</v>
      </c>
      <c r="K230" s="105">
        <f t="shared" si="9"/>
        <v>19</v>
      </c>
      <c r="L230" s="411">
        <f t="shared" si="10"/>
        <v>0</v>
      </c>
      <c r="M230" s="407">
        <f t="shared" si="2"/>
        <v>0</v>
      </c>
      <c r="N230" s="407">
        <f t="shared" si="3"/>
        <v>0</v>
      </c>
      <c r="O230" s="407">
        <f t="shared" si="4"/>
        <v>-0.000000001730203258</v>
      </c>
      <c r="P230" s="368" t="str">
        <f>IF(AND(K230&gt;K229,K230-2+1='Pro Forma Detail'!D$66),E227,)</f>
        <v/>
      </c>
      <c r="Q230" s="369" t="str">
        <f t="shared" si="11"/>
        <v/>
      </c>
      <c r="R230" s="370">
        <f t="shared" si="12"/>
        <v>0</v>
      </c>
      <c r="S230" s="370">
        <f t="shared" si="13"/>
        <v>0</v>
      </c>
      <c r="T230" s="1"/>
    </row>
    <row r="231" ht="12.75" customHeight="1">
      <c r="A231" s="1">
        <v>220.0</v>
      </c>
      <c r="B231" s="408">
        <f t="shared" si="5"/>
        <v>0</v>
      </c>
      <c r="C231" s="408">
        <f t="shared" si="6"/>
        <v>0</v>
      </c>
      <c r="D231" s="409">
        <f t="shared" si="7"/>
        <v>0</v>
      </c>
      <c r="E231" s="176">
        <f t="shared" si="8"/>
        <v>-0.000000001719794322</v>
      </c>
      <c r="F231" s="408">
        <f t="shared" si="14"/>
        <v>16306617.46</v>
      </c>
      <c r="G231" s="408">
        <f t="shared" si="15"/>
        <v>30373143.87</v>
      </c>
      <c r="H231" s="410">
        <f t="shared" si="16"/>
        <v>0.0275</v>
      </c>
      <c r="I231" s="1">
        <f t="shared" si="1"/>
        <v>220</v>
      </c>
      <c r="J231" s="406">
        <f t="shared" si="17"/>
        <v>50861</v>
      </c>
      <c r="K231" s="105">
        <f t="shared" si="9"/>
        <v>19</v>
      </c>
      <c r="L231" s="411">
        <f t="shared" si="10"/>
        <v>0</v>
      </c>
      <c r="M231" s="407">
        <f t="shared" si="2"/>
        <v>0</v>
      </c>
      <c r="N231" s="407">
        <f t="shared" si="3"/>
        <v>0</v>
      </c>
      <c r="O231" s="407">
        <f t="shared" si="4"/>
        <v>-0.000000001719794322</v>
      </c>
      <c r="P231" s="368" t="str">
        <f>IF(AND(K231&gt;K230,K231-2+1='Pro Forma Detail'!D$66),E228,)</f>
        <v/>
      </c>
      <c r="Q231" s="369" t="str">
        <f t="shared" si="11"/>
        <v/>
      </c>
      <c r="R231" s="370">
        <f t="shared" si="12"/>
        <v>0</v>
      </c>
      <c r="S231" s="370">
        <f t="shared" si="13"/>
        <v>0</v>
      </c>
      <c r="T231" s="1"/>
    </row>
    <row r="232" ht="12.75" customHeight="1">
      <c r="A232" s="1">
        <v>221.0</v>
      </c>
      <c r="B232" s="408">
        <f t="shared" si="5"/>
        <v>0</v>
      </c>
      <c r="C232" s="408">
        <f t="shared" si="6"/>
        <v>0</v>
      </c>
      <c r="D232" s="409">
        <f t="shared" si="7"/>
        <v>0</v>
      </c>
      <c r="E232" s="176">
        <f t="shared" si="8"/>
        <v>-0.000000001709361532</v>
      </c>
      <c r="F232" s="408">
        <f t="shared" si="14"/>
        <v>16306617.46</v>
      </c>
      <c r="G232" s="408">
        <f t="shared" si="15"/>
        <v>30373143.87</v>
      </c>
      <c r="H232" s="410">
        <f t="shared" si="16"/>
        <v>0.0275</v>
      </c>
      <c r="I232" s="1">
        <f t="shared" si="1"/>
        <v>221</v>
      </c>
      <c r="J232" s="406">
        <f t="shared" si="17"/>
        <v>50891</v>
      </c>
      <c r="K232" s="105">
        <f t="shared" si="9"/>
        <v>19</v>
      </c>
      <c r="L232" s="411">
        <f t="shared" si="10"/>
        <v>0</v>
      </c>
      <c r="M232" s="407">
        <f t="shared" si="2"/>
        <v>0</v>
      </c>
      <c r="N232" s="407">
        <f t="shared" si="3"/>
        <v>0</v>
      </c>
      <c r="O232" s="407">
        <f t="shared" si="4"/>
        <v>-0.000000001709361532</v>
      </c>
      <c r="P232" s="368" t="str">
        <f>IF(AND(K232&gt;K231,K232-2+1='Pro Forma Detail'!D$66),E229,)</f>
        <v/>
      </c>
      <c r="Q232" s="369" t="str">
        <f t="shared" si="11"/>
        <v/>
      </c>
      <c r="R232" s="370">
        <f t="shared" si="12"/>
        <v>0</v>
      </c>
      <c r="S232" s="370">
        <f t="shared" si="13"/>
        <v>0</v>
      </c>
      <c r="T232" s="1"/>
    </row>
    <row r="233" ht="12.75" customHeight="1">
      <c r="A233" s="1">
        <v>222.0</v>
      </c>
      <c r="B233" s="408">
        <f t="shared" si="5"/>
        <v>0</v>
      </c>
      <c r="C233" s="408">
        <f t="shared" si="6"/>
        <v>0</v>
      </c>
      <c r="D233" s="409">
        <f t="shared" si="7"/>
        <v>0</v>
      </c>
      <c r="E233" s="176">
        <f t="shared" si="8"/>
        <v>-0.000000001698904834</v>
      </c>
      <c r="F233" s="408">
        <f t="shared" si="14"/>
        <v>16306617.46</v>
      </c>
      <c r="G233" s="408">
        <f t="shared" si="15"/>
        <v>30373143.87</v>
      </c>
      <c r="H233" s="410">
        <f t="shared" si="16"/>
        <v>0.0275</v>
      </c>
      <c r="I233" s="1">
        <f t="shared" si="1"/>
        <v>222</v>
      </c>
      <c r="J233" s="406">
        <f t="shared" si="17"/>
        <v>50922</v>
      </c>
      <c r="K233" s="105">
        <f t="shared" si="9"/>
        <v>19</v>
      </c>
      <c r="L233" s="411">
        <f t="shared" si="10"/>
        <v>0</v>
      </c>
      <c r="M233" s="407">
        <f t="shared" si="2"/>
        <v>0</v>
      </c>
      <c r="N233" s="407">
        <f t="shared" si="3"/>
        <v>0</v>
      </c>
      <c r="O233" s="407">
        <f t="shared" si="4"/>
        <v>-0.000000001698904834</v>
      </c>
      <c r="P233" s="368" t="str">
        <f>IF(AND(K233&gt;K232,K233-2+1='Pro Forma Detail'!D$66),E230,)</f>
        <v/>
      </c>
      <c r="Q233" s="369" t="str">
        <f t="shared" si="11"/>
        <v/>
      </c>
      <c r="R233" s="370">
        <f t="shared" si="12"/>
        <v>0</v>
      </c>
      <c r="S233" s="370">
        <f t="shared" si="13"/>
        <v>0</v>
      </c>
      <c r="T233" s="1"/>
    </row>
    <row r="234" ht="12.75" customHeight="1">
      <c r="A234" s="1">
        <v>223.0</v>
      </c>
      <c r="B234" s="408">
        <f t="shared" si="5"/>
        <v>0</v>
      </c>
      <c r="C234" s="408">
        <f t="shared" si="6"/>
        <v>0</v>
      </c>
      <c r="D234" s="409">
        <f t="shared" si="7"/>
        <v>0</v>
      </c>
      <c r="E234" s="176">
        <f t="shared" si="8"/>
        <v>-0.000000001688424172</v>
      </c>
      <c r="F234" s="408">
        <f t="shared" si="14"/>
        <v>16306617.46</v>
      </c>
      <c r="G234" s="408">
        <f t="shared" si="15"/>
        <v>30373143.87</v>
      </c>
      <c r="H234" s="410">
        <f t="shared" si="16"/>
        <v>0.0275</v>
      </c>
      <c r="I234" s="1">
        <f t="shared" si="1"/>
        <v>223</v>
      </c>
      <c r="J234" s="406">
        <f t="shared" si="17"/>
        <v>50952</v>
      </c>
      <c r="K234" s="105">
        <f t="shared" si="9"/>
        <v>19</v>
      </c>
      <c r="L234" s="411">
        <f t="shared" si="10"/>
        <v>0</v>
      </c>
      <c r="M234" s="407">
        <f t="shared" si="2"/>
        <v>0</v>
      </c>
      <c r="N234" s="407">
        <f t="shared" si="3"/>
        <v>0</v>
      </c>
      <c r="O234" s="407">
        <f t="shared" si="4"/>
        <v>-0.000000001688424172</v>
      </c>
      <c r="P234" s="368" t="str">
        <f>IF(AND(K234&gt;K233,K234-2+1='Pro Forma Detail'!D$66),E231,)</f>
        <v/>
      </c>
      <c r="Q234" s="369" t="str">
        <f t="shared" si="11"/>
        <v/>
      </c>
      <c r="R234" s="370">
        <f t="shared" si="12"/>
        <v>0</v>
      </c>
      <c r="S234" s="370">
        <f t="shared" si="13"/>
        <v>0</v>
      </c>
      <c r="T234" s="1"/>
    </row>
    <row r="235" ht="12.75" customHeight="1">
      <c r="A235" s="1">
        <v>224.0</v>
      </c>
      <c r="B235" s="408">
        <f t="shared" si="5"/>
        <v>0</v>
      </c>
      <c r="C235" s="408">
        <f t="shared" si="6"/>
        <v>0</v>
      </c>
      <c r="D235" s="409">
        <f t="shared" si="7"/>
        <v>0</v>
      </c>
      <c r="E235" s="176">
        <f t="shared" si="8"/>
        <v>-0.000000001677919492</v>
      </c>
      <c r="F235" s="408">
        <f t="shared" si="14"/>
        <v>16306617.46</v>
      </c>
      <c r="G235" s="408">
        <f t="shared" si="15"/>
        <v>30373143.87</v>
      </c>
      <c r="H235" s="410">
        <f t="shared" si="16"/>
        <v>0.0275</v>
      </c>
      <c r="I235" s="1">
        <f t="shared" si="1"/>
        <v>224</v>
      </c>
      <c r="J235" s="406">
        <f t="shared" si="17"/>
        <v>50983</v>
      </c>
      <c r="K235" s="105">
        <f t="shared" si="9"/>
        <v>19</v>
      </c>
      <c r="L235" s="411">
        <f t="shared" si="10"/>
        <v>0</v>
      </c>
      <c r="M235" s="407">
        <f t="shared" si="2"/>
        <v>0</v>
      </c>
      <c r="N235" s="407">
        <f t="shared" si="3"/>
        <v>0</v>
      </c>
      <c r="O235" s="407">
        <f t="shared" si="4"/>
        <v>-0.000000001677919492</v>
      </c>
      <c r="P235" s="368" t="str">
        <f>IF(AND(K235&gt;K234,K235-2+1='Pro Forma Detail'!D$66),E232,)</f>
        <v/>
      </c>
      <c r="Q235" s="369" t="str">
        <f t="shared" si="11"/>
        <v/>
      </c>
      <c r="R235" s="370">
        <f t="shared" si="12"/>
        <v>0</v>
      </c>
      <c r="S235" s="370">
        <f t="shared" si="13"/>
        <v>0</v>
      </c>
      <c r="T235" s="1"/>
    </row>
    <row r="236" ht="12.75" customHeight="1">
      <c r="A236" s="1">
        <v>225.0</v>
      </c>
      <c r="B236" s="408">
        <f t="shared" si="5"/>
        <v>0</v>
      </c>
      <c r="C236" s="408">
        <f t="shared" si="6"/>
        <v>0</v>
      </c>
      <c r="D236" s="409">
        <f t="shared" si="7"/>
        <v>0</v>
      </c>
      <c r="E236" s="176">
        <f t="shared" si="8"/>
        <v>-0.000000001667390739</v>
      </c>
      <c r="F236" s="408">
        <f t="shared" si="14"/>
        <v>16306617.46</v>
      </c>
      <c r="G236" s="408">
        <f t="shared" si="15"/>
        <v>30373143.87</v>
      </c>
      <c r="H236" s="410">
        <f t="shared" si="16"/>
        <v>0.0275</v>
      </c>
      <c r="I236" s="1">
        <f t="shared" si="1"/>
        <v>225</v>
      </c>
      <c r="J236" s="406">
        <f t="shared" si="17"/>
        <v>51014</v>
      </c>
      <c r="K236" s="105">
        <f t="shared" si="9"/>
        <v>19</v>
      </c>
      <c r="L236" s="411">
        <f t="shared" si="10"/>
        <v>0</v>
      </c>
      <c r="M236" s="407">
        <f t="shared" si="2"/>
        <v>0</v>
      </c>
      <c r="N236" s="407">
        <f t="shared" si="3"/>
        <v>0</v>
      </c>
      <c r="O236" s="407">
        <f t="shared" si="4"/>
        <v>-0.000000001667390739</v>
      </c>
      <c r="P236" s="368" t="str">
        <f>IF(AND(K236&gt;K235,K236-2+1='Pro Forma Detail'!D$66),E233,)</f>
        <v/>
      </c>
      <c r="Q236" s="369" t="str">
        <f t="shared" si="11"/>
        <v/>
      </c>
      <c r="R236" s="370">
        <f t="shared" si="12"/>
        <v>0</v>
      </c>
      <c r="S236" s="370">
        <f t="shared" si="13"/>
        <v>0</v>
      </c>
      <c r="T236" s="1"/>
    </row>
    <row r="237" ht="12.75" customHeight="1">
      <c r="A237" s="1">
        <v>226.0</v>
      </c>
      <c r="B237" s="408">
        <f t="shared" si="5"/>
        <v>0</v>
      </c>
      <c r="C237" s="408">
        <f t="shared" si="6"/>
        <v>0</v>
      </c>
      <c r="D237" s="409">
        <f t="shared" si="7"/>
        <v>0</v>
      </c>
      <c r="E237" s="176">
        <f t="shared" si="8"/>
        <v>-0.000000001656837858</v>
      </c>
      <c r="F237" s="408">
        <f t="shared" si="14"/>
        <v>16306617.46</v>
      </c>
      <c r="G237" s="408">
        <f t="shared" si="15"/>
        <v>30373143.87</v>
      </c>
      <c r="H237" s="410">
        <f t="shared" si="16"/>
        <v>0.0275</v>
      </c>
      <c r="I237" s="1">
        <f t="shared" si="1"/>
        <v>226</v>
      </c>
      <c r="J237" s="406">
        <f t="shared" si="17"/>
        <v>51044</v>
      </c>
      <c r="K237" s="105">
        <f t="shared" si="9"/>
        <v>19</v>
      </c>
      <c r="L237" s="411">
        <f t="shared" si="10"/>
        <v>0</v>
      </c>
      <c r="M237" s="407">
        <f t="shared" si="2"/>
        <v>0</v>
      </c>
      <c r="N237" s="407">
        <f t="shared" si="3"/>
        <v>0</v>
      </c>
      <c r="O237" s="407">
        <f t="shared" si="4"/>
        <v>-0.000000001656837858</v>
      </c>
      <c r="P237" s="368" t="str">
        <f>IF(AND(K237&gt;K236,K237-2+1='Pro Forma Detail'!D$66),E234,)</f>
        <v/>
      </c>
      <c r="Q237" s="369" t="str">
        <f t="shared" si="11"/>
        <v/>
      </c>
      <c r="R237" s="370">
        <f t="shared" si="12"/>
        <v>0</v>
      </c>
      <c r="S237" s="370">
        <f t="shared" si="13"/>
        <v>0</v>
      </c>
      <c r="T237" s="1"/>
    </row>
    <row r="238" ht="12.75" customHeight="1">
      <c r="A238" s="1">
        <v>227.0</v>
      </c>
      <c r="B238" s="408">
        <f t="shared" si="5"/>
        <v>0</v>
      </c>
      <c r="C238" s="408">
        <f t="shared" si="6"/>
        <v>0</v>
      </c>
      <c r="D238" s="409">
        <f t="shared" si="7"/>
        <v>0</v>
      </c>
      <c r="E238" s="176">
        <f t="shared" si="8"/>
        <v>-0.000000001646260793</v>
      </c>
      <c r="F238" s="408">
        <f t="shared" si="14"/>
        <v>16306617.46</v>
      </c>
      <c r="G238" s="408">
        <f t="shared" si="15"/>
        <v>30373143.87</v>
      </c>
      <c r="H238" s="410">
        <f t="shared" si="16"/>
        <v>0.0275</v>
      </c>
      <c r="I238" s="1">
        <f t="shared" si="1"/>
        <v>227</v>
      </c>
      <c r="J238" s="406">
        <f t="shared" si="17"/>
        <v>51075</v>
      </c>
      <c r="K238" s="105">
        <f t="shared" si="9"/>
        <v>19</v>
      </c>
      <c r="L238" s="411">
        <f t="shared" si="10"/>
        <v>0</v>
      </c>
      <c r="M238" s="407">
        <f t="shared" si="2"/>
        <v>0</v>
      </c>
      <c r="N238" s="407">
        <f t="shared" si="3"/>
        <v>0</v>
      </c>
      <c r="O238" s="407">
        <f t="shared" si="4"/>
        <v>-0.000000001646260793</v>
      </c>
      <c r="P238" s="368" t="str">
        <f>IF(AND(K238&gt;K237,K238-2+1='Pro Forma Detail'!D$66),E235,)</f>
        <v/>
      </c>
      <c r="Q238" s="369" t="str">
        <f t="shared" si="11"/>
        <v/>
      </c>
      <c r="R238" s="370">
        <f t="shared" si="12"/>
        <v>0</v>
      </c>
      <c r="S238" s="370">
        <f t="shared" si="13"/>
        <v>0</v>
      </c>
      <c r="T238" s="1"/>
    </row>
    <row r="239" ht="12.75" customHeight="1">
      <c r="A239" s="1">
        <v>228.0</v>
      </c>
      <c r="B239" s="408">
        <f t="shared" si="5"/>
        <v>0</v>
      </c>
      <c r="C239" s="408">
        <f t="shared" si="6"/>
        <v>0</v>
      </c>
      <c r="D239" s="409">
        <f t="shared" si="7"/>
        <v>0</v>
      </c>
      <c r="E239" s="176">
        <f t="shared" si="8"/>
        <v>-0.000000001635659489</v>
      </c>
      <c r="F239" s="408">
        <f t="shared" si="14"/>
        <v>16306617.46</v>
      </c>
      <c r="G239" s="408">
        <f t="shared" si="15"/>
        <v>30373143.87</v>
      </c>
      <c r="H239" s="410">
        <f t="shared" si="16"/>
        <v>0.0275</v>
      </c>
      <c r="I239" s="1">
        <f t="shared" si="1"/>
        <v>228</v>
      </c>
      <c r="J239" s="406">
        <f t="shared" si="17"/>
        <v>51105</v>
      </c>
      <c r="K239" s="105">
        <f t="shared" si="9"/>
        <v>19</v>
      </c>
      <c r="L239" s="411">
        <f t="shared" si="10"/>
        <v>0</v>
      </c>
      <c r="M239" s="407">
        <f t="shared" si="2"/>
        <v>0</v>
      </c>
      <c r="N239" s="407">
        <f t="shared" si="3"/>
        <v>0</v>
      </c>
      <c r="O239" s="407">
        <f t="shared" si="4"/>
        <v>-0.000000001635659489</v>
      </c>
      <c r="P239" s="368" t="str">
        <f>IF(AND(K239&gt;K238,K239-2+1='Pro Forma Detail'!D$66),E236,)</f>
        <v/>
      </c>
      <c r="Q239" s="369" t="str">
        <f t="shared" si="11"/>
        <v/>
      </c>
      <c r="R239" s="370">
        <f t="shared" si="12"/>
        <v>0</v>
      </c>
      <c r="S239" s="370">
        <f t="shared" si="13"/>
        <v>0</v>
      </c>
      <c r="T239" s="1"/>
    </row>
    <row r="240" ht="12.75" customHeight="1">
      <c r="A240" s="1">
        <v>229.0</v>
      </c>
      <c r="B240" s="408">
        <f t="shared" si="5"/>
        <v>0</v>
      </c>
      <c r="C240" s="408">
        <f t="shared" si="6"/>
        <v>0</v>
      </c>
      <c r="D240" s="409">
        <f t="shared" si="7"/>
        <v>0</v>
      </c>
      <c r="E240" s="176">
        <f t="shared" si="8"/>
        <v>-0.00000000162503389</v>
      </c>
      <c r="F240" s="408">
        <f t="shared" si="14"/>
        <v>16306617.46</v>
      </c>
      <c r="G240" s="408">
        <f t="shared" si="15"/>
        <v>30373143.87</v>
      </c>
      <c r="H240" s="410">
        <f t="shared" si="16"/>
        <v>0.0275</v>
      </c>
      <c r="I240" s="1">
        <f t="shared" si="1"/>
        <v>229</v>
      </c>
      <c r="J240" s="406">
        <f t="shared" si="17"/>
        <v>51136</v>
      </c>
      <c r="K240" s="105">
        <f t="shared" si="9"/>
        <v>20</v>
      </c>
      <c r="L240" s="411">
        <f t="shared" si="10"/>
        <v>0</v>
      </c>
      <c r="M240" s="407">
        <f t="shared" si="2"/>
        <v>0</v>
      </c>
      <c r="N240" s="407">
        <f t="shared" si="3"/>
        <v>0</v>
      </c>
      <c r="O240" s="407">
        <f t="shared" si="4"/>
        <v>-0.00000000162503389</v>
      </c>
      <c r="P240" s="368" t="str">
        <f>IF(AND(K240&gt;K239,K240-2+1='Pro Forma Detail'!D$66),E237,)</f>
        <v/>
      </c>
      <c r="Q240" s="369" t="str">
        <f t="shared" si="11"/>
        <v/>
      </c>
      <c r="R240" s="370">
        <f t="shared" si="12"/>
        <v>0</v>
      </c>
      <c r="S240" s="370">
        <f t="shared" si="13"/>
        <v>0</v>
      </c>
      <c r="T240" s="1"/>
    </row>
    <row r="241" ht="12.75" customHeight="1">
      <c r="A241" s="1">
        <v>230.0</v>
      </c>
      <c r="B241" s="408">
        <f t="shared" si="5"/>
        <v>0</v>
      </c>
      <c r="C241" s="408">
        <f t="shared" si="6"/>
        <v>0</v>
      </c>
      <c r="D241" s="409">
        <f t="shared" si="7"/>
        <v>0</v>
      </c>
      <c r="E241" s="176">
        <f t="shared" si="8"/>
        <v>-0.000000001614383941</v>
      </c>
      <c r="F241" s="408">
        <f t="shared" si="14"/>
        <v>16306617.46</v>
      </c>
      <c r="G241" s="408">
        <f t="shared" si="15"/>
        <v>30373143.87</v>
      </c>
      <c r="H241" s="410">
        <f t="shared" si="16"/>
        <v>0.0275</v>
      </c>
      <c r="I241" s="1">
        <f t="shared" si="1"/>
        <v>230</v>
      </c>
      <c r="J241" s="406">
        <f t="shared" si="17"/>
        <v>51167</v>
      </c>
      <c r="K241" s="105">
        <f t="shared" si="9"/>
        <v>20</v>
      </c>
      <c r="L241" s="411">
        <f t="shared" si="10"/>
        <v>0</v>
      </c>
      <c r="M241" s="407">
        <f t="shared" si="2"/>
        <v>0</v>
      </c>
      <c r="N241" s="407">
        <f t="shared" si="3"/>
        <v>0</v>
      </c>
      <c r="O241" s="407">
        <f t="shared" si="4"/>
        <v>-0.000000001614383941</v>
      </c>
      <c r="P241" s="368" t="str">
        <f>IF(AND(K241&gt;K240,K241-2+1='Pro Forma Detail'!D$66),E238,)</f>
        <v/>
      </c>
      <c r="Q241" s="369" t="str">
        <f t="shared" si="11"/>
        <v/>
      </c>
      <c r="R241" s="370">
        <f t="shared" si="12"/>
        <v>0</v>
      </c>
      <c r="S241" s="370">
        <f t="shared" si="13"/>
        <v>0</v>
      </c>
      <c r="T241" s="1"/>
    </row>
    <row r="242" ht="12.75" customHeight="1">
      <c r="A242" s="1">
        <v>231.0</v>
      </c>
      <c r="B242" s="408">
        <f t="shared" si="5"/>
        <v>0</v>
      </c>
      <c r="C242" s="408">
        <f t="shared" si="6"/>
        <v>0</v>
      </c>
      <c r="D242" s="409">
        <f t="shared" si="7"/>
        <v>0</v>
      </c>
      <c r="E242" s="176">
        <f t="shared" si="8"/>
        <v>-0.000000001603709586</v>
      </c>
      <c r="F242" s="408">
        <f t="shared" si="14"/>
        <v>16306617.46</v>
      </c>
      <c r="G242" s="408">
        <f t="shared" si="15"/>
        <v>30373143.87</v>
      </c>
      <c r="H242" s="410">
        <f t="shared" si="16"/>
        <v>0.0275</v>
      </c>
      <c r="I242" s="1">
        <f t="shared" si="1"/>
        <v>231</v>
      </c>
      <c r="J242" s="406">
        <f t="shared" si="17"/>
        <v>51196</v>
      </c>
      <c r="K242" s="105">
        <f t="shared" si="9"/>
        <v>20</v>
      </c>
      <c r="L242" s="411">
        <f t="shared" si="10"/>
        <v>0</v>
      </c>
      <c r="M242" s="407">
        <f t="shared" si="2"/>
        <v>0</v>
      </c>
      <c r="N242" s="407">
        <f t="shared" si="3"/>
        <v>0</v>
      </c>
      <c r="O242" s="407">
        <f t="shared" si="4"/>
        <v>-0.000000001603709586</v>
      </c>
      <c r="P242" s="368" t="str">
        <f>IF(AND(K242&gt;K241,K242-2+1='Pro Forma Detail'!D$66),E239,)</f>
        <v/>
      </c>
      <c r="Q242" s="369" t="str">
        <f t="shared" si="11"/>
        <v/>
      </c>
      <c r="R242" s="370">
        <f t="shared" si="12"/>
        <v>0</v>
      </c>
      <c r="S242" s="370">
        <f t="shared" si="13"/>
        <v>0</v>
      </c>
      <c r="T242" s="1"/>
    </row>
    <row r="243" ht="12.75" customHeight="1">
      <c r="A243" s="1">
        <v>232.0</v>
      </c>
      <c r="B243" s="408">
        <f t="shared" si="5"/>
        <v>0</v>
      </c>
      <c r="C243" s="408">
        <f t="shared" si="6"/>
        <v>0</v>
      </c>
      <c r="D243" s="409">
        <f t="shared" si="7"/>
        <v>0</v>
      </c>
      <c r="E243" s="176">
        <f t="shared" si="8"/>
        <v>-0.000000001593010769</v>
      </c>
      <c r="F243" s="408">
        <f t="shared" si="14"/>
        <v>16306617.46</v>
      </c>
      <c r="G243" s="408">
        <f t="shared" si="15"/>
        <v>30373143.87</v>
      </c>
      <c r="H243" s="410">
        <f t="shared" si="16"/>
        <v>0.0275</v>
      </c>
      <c r="I243" s="1">
        <f t="shared" si="1"/>
        <v>232</v>
      </c>
      <c r="J243" s="406">
        <f t="shared" si="17"/>
        <v>51227</v>
      </c>
      <c r="K243" s="105">
        <f t="shared" si="9"/>
        <v>20</v>
      </c>
      <c r="L243" s="411">
        <f t="shared" si="10"/>
        <v>0</v>
      </c>
      <c r="M243" s="407">
        <f t="shared" si="2"/>
        <v>0</v>
      </c>
      <c r="N243" s="407">
        <f t="shared" si="3"/>
        <v>0</v>
      </c>
      <c r="O243" s="407">
        <f t="shared" si="4"/>
        <v>-0.000000001593010769</v>
      </c>
      <c r="P243" s="368" t="str">
        <f>IF(AND(K243&gt;K242,K243-2+1='Pro Forma Detail'!D$66),E240,)</f>
        <v/>
      </c>
      <c r="Q243" s="369" t="str">
        <f t="shared" si="11"/>
        <v/>
      </c>
      <c r="R243" s="370">
        <f t="shared" si="12"/>
        <v>0</v>
      </c>
      <c r="S243" s="370">
        <f t="shared" si="13"/>
        <v>0</v>
      </c>
      <c r="T243" s="1"/>
    </row>
    <row r="244" ht="12.75" customHeight="1">
      <c r="A244" s="1">
        <v>233.0</v>
      </c>
      <c r="B244" s="408">
        <f t="shared" si="5"/>
        <v>0</v>
      </c>
      <c r="C244" s="408">
        <f t="shared" si="6"/>
        <v>0</v>
      </c>
      <c r="D244" s="409">
        <f t="shared" si="7"/>
        <v>0</v>
      </c>
      <c r="E244" s="176">
        <f t="shared" si="8"/>
        <v>-0.000000001582287433</v>
      </c>
      <c r="F244" s="408">
        <f t="shared" si="14"/>
        <v>16306617.46</v>
      </c>
      <c r="G244" s="408">
        <f t="shared" si="15"/>
        <v>30373143.87</v>
      </c>
      <c r="H244" s="410">
        <f t="shared" si="16"/>
        <v>0.0275</v>
      </c>
      <c r="I244" s="1">
        <f t="shared" si="1"/>
        <v>233</v>
      </c>
      <c r="J244" s="406">
        <f t="shared" si="17"/>
        <v>51257</v>
      </c>
      <c r="K244" s="105">
        <f t="shared" si="9"/>
        <v>20</v>
      </c>
      <c r="L244" s="411">
        <f t="shared" si="10"/>
        <v>0</v>
      </c>
      <c r="M244" s="407">
        <f t="shared" si="2"/>
        <v>0</v>
      </c>
      <c r="N244" s="407">
        <f t="shared" si="3"/>
        <v>0</v>
      </c>
      <c r="O244" s="407">
        <f t="shared" si="4"/>
        <v>-0.000000001582287433</v>
      </c>
      <c r="P244" s="368" t="str">
        <f>IF(AND(K244&gt;K243,K244-2+1='Pro Forma Detail'!D$66),E241,)</f>
        <v/>
      </c>
      <c r="Q244" s="369" t="str">
        <f t="shared" si="11"/>
        <v/>
      </c>
      <c r="R244" s="370">
        <f t="shared" si="12"/>
        <v>0</v>
      </c>
      <c r="S244" s="370">
        <f t="shared" si="13"/>
        <v>0</v>
      </c>
      <c r="T244" s="1"/>
    </row>
    <row r="245" ht="12.75" customHeight="1">
      <c r="A245" s="1">
        <v>234.0</v>
      </c>
      <c r="B245" s="408">
        <f t="shared" si="5"/>
        <v>0</v>
      </c>
      <c r="C245" s="408">
        <f t="shared" si="6"/>
        <v>0</v>
      </c>
      <c r="D245" s="409">
        <f t="shared" si="7"/>
        <v>0</v>
      </c>
      <c r="E245" s="176">
        <f t="shared" si="8"/>
        <v>-0.000000001571539523</v>
      </c>
      <c r="F245" s="408">
        <f t="shared" si="14"/>
        <v>16306617.46</v>
      </c>
      <c r="G245" s="408">
        <f t="shared" si="15"/>
        <v>30373143.87</v>
      </c>
      <c r="H245" s="410">
        <f t="shared" si="16"/>
        <v>0.0275</v>
      </c>
      <c r="I245" s="1">
        <f t="shared" si="1"/>
        <v>234</v>
      </c>
      <c r="J245" s="406">
        <f t="shared" si="17"/>
        <v>51288</v>
      </c>
      <c r="K245" s="105">
        <f t="shared" si="9"/>
        <v>20</v>
      </c>
      <c r="L245" s="411">
        <f t="shared" si="10"/>
        <v>0</v>
      </c>
      <c r="M245" s="407">
        <f t="shared" si="2"/>
        <v>0</v>
      </c>
      <c r="N245" s="407">
        <f t="shared" si="3"/>
        <v>0</v>
      </c>
      <c r="O245" s="407">
        <f t="shared" si="4"/>
        <v>-0.000000001571539523</v>
      </c>
      <c r="P245" s="368" t="str">
        <f>IF(AND(K245&gt;K244,K245-2+1='Pro Forma Detail'!D$66),E242,)</f>
        <v/>
      </c>
      <c r="Q245" s="369" t="str">
        <f t="shared" si="11"/>
        <v/>
      </c>
      <c r="R245" s="370">
        <f t="shared" si="12"/>
        <v>0</v>
      </c>
      <c r="S245" s="370">
        <f t="shared" si="13"/>
        <v>0</v>
      </c>
      <c r="T245" s="1"/>
    </row>
    <row r="246" ht="12.75" customHeight="1">
      <c r="A246" s="1">
        <v>235.0</v>
      </c>
      <c r="B246" s="408">
        <f t="shared" si="5"/>
        <v>0</v>
      </c>
      <c r="C246" s="408">
        <f t="shared" si="6"/>
        <v>0</v>
      </c>
      <c r="D246" s="409">
        <f t="shared" si="7"/>
        <v>0</v>
      </c>
      <c r="E246" s="176">
        <f t="shared" si="8"/>
        <v>-0.000000001560766983</v>
      </c>
      <c r="F246" s="408">
        <f t="shared" si="14"/>
        <v>16306617.46</v>
      </c>
      <c r="G246" s="408">
        <f t="shared" si="15"/>
        <v>30373143.87</v>
      </c>
      <c r="H246" s="410">
        <f t="shared" si="16"/>
        <v>0.0275</v>
      </c>
      <c r="I246" s="1">
        <f t="shared" si="1"/>
        <v>235</v>
      </c>
      <c r="J246" s="406">
        <f t="shared" si="17"/>
        <v>51318</v>
      </c>
      <c r="K246" s="105">
        <f t="shared" si="9"/>
        <v>20</v>
      </c>
      <c r="L246" s="411">
        <f t="shared" si="10"/>
        <v>0</v>
      </c>
      <c r="M246" s="407">
        <f t="shared" si="2"/>
        <v>0</v>
      </c>
      <c r="N246" s="407">
        <f t="shared" si="3"/>
        <v>0</v>
      </c>
      <c r="O246" s="407">
        <f t="shared" si="4"/>
        <v>-0.000000001560766983</v>
      </c>
      <c r="P246" s="368" t="str">
        <f>IF(AND(K246&gt;K245,K246-2+1='Pro Forma Detail'!D$66),E243,)</f>
        <v/>
      </c>
      <c r="Q246" s="369" t="str">
        <f t="shared" si="11"/>
        <v/>
      </c>
      <c r="R246" s="370">
        <f t="shared" si="12"/>
        <v>0</v>
      </c>
      <c r="S246" s="370">
        <f t="shared" si="13"/>
        <v>0</v>
      </c>
      <c r="T246" s="1"/>
    </row>
    <row r="247" ht="12.75" customHeight="1">
      <c r="A247" s="1">
        <v>236.0</v>
      </c>
      <c r="B247" s="408">
        <f t="shared" si="5"/>
        <v>0</v>
      </c>
      <c r="C247" s="408">
        <f t="shared" si="6"/>
        <v>0</v>
      </c>
      <c r="D247" s="409">
        <f t="shared" si="7"/>
        <v>0</v>
      </c>
      <c r="E247" s="176">
        <f t="shared" si="8"/>
        <v>-0.000000001549969756</v>
      </c>
      <c r="F247" s="408">
        <f t="shared" si="14"/>
        <v>16306617.46</v>
      </c>
      <c r="G247" s="408">
        <f t="shared" si="15"/>
        <v>30373143.87</v>
      </c>
      <c r="H247" s="410">
        <f t="shared" si="16"/>
        <v>0.0275</v>
      </c>
      <c r="I247" s="1">
        <f t="shared" si="1"/>
        <v>236</v>
      </c>
      <c r="J247" s="406">
        <f t="shared" si="17"/>
        <v>51349</v>
      </c>
      <c r="K247" s="105">
        <f t="shared" si="9"/>
        <v>20</v>
      </c>
      <c r="L247" s="411">
        <f t="shared" si="10"/>
        <v>0</v>
      </c>
      <c r="M247" s="407">
        <f t="shared" si="2"/>
        <v>0</v>
      </c>
      <c r="N247" s="407">
        <f t="shared" si="3"/>
        <v>0</v>
      </c>
      <c r="O247" s="407">
        <f t="shared" si="4"/>
        <v>-0.000000001549969756</v>
      </c>
      <c r="P247" s="368" t="str">
        <f>IF(AND(K247&gt;K246,K247-2+1='Pro Forma Detail'!D$66),E244,)</f>
        <v/>
      </c>
      <c r="Q247" s="369" t="str">
        <f t="shared" si="11"/>
        <v/>
      </c>
      <c r="R247" s="370">
        <f t="shared" si="12"/>
        <v>0</v>
      </c>
      <c r="S247" s="370">
        <f t="shared" si="13"/>
        <v>0</v>
      </c>
      <c r="T247" s="1"/>
    </row>
    <row r="248" ht="12.75" customHeight="1">
      <c r="A248" s="1">
        <v>237.0</v>
      </c>
      <c r="B248" s="408">
        <f t="shared" si="5"/>
        <v>0</v>
      </c>
      <c r="C248" s="408">
        <f t="shared" si="6"/>
        <v>0</v>
      </c>
      <c r="D248" s="409">
        <f t="shared" si="7"/>
        <v>0</v>
      </c>
      <c r="E248" s="176">
        <f t="shared" si="8"/>
        <v>-0.000000001539147784</v>
      </c>
      <c r="F248" s="408">
        <f t="shared" si="14"/>
        <v>16306617.46</v>
      </c>
      <c r="G248" s="408">
        <f t="shared" si="15"/>
        <v>30373143.87</v>
      </c>
      <c r="H248" s="410">
        <f t="shared" si="16"/>
        <v>0.0275</v>
      </c>
      <c r="I248" s="1">
        <f t="shared" si="1"/>
        <v>237</v>
      </c>
      <c r="J248" s="406">
        <f t="shared" si="17"/>
        <v>51380</v>
      </c>
      <c r="K248" s="105">
        <f t="shared" si="9"/>
        <v>20</v>
      </c>
      <c r="L248" s="411">
        <f t="shared" si="10"/>
        <v>0</v>
      </c>
      <c r="M248" s="407">
        <f t="shared" si="2"/>
        <v>0</v>
      </c>
      <c r="N248" s="407">
        <f t="shared" si="3"/>
        <v>0</v>
      </c>
      <c r="O248" s="407">
        <f t="shared" si="4"/>
        <v>-0.000000001539147784</v>
      </c>
      <c r="P248" s="368" t="str">
        <f>IF(AND(K248&gt;K247,K248-2+1='Pro Forma Detail'!D$66),E245,)</f>
        <v/>
      </c>
      <c r="Q248" s="369" t="str">
        <f t="shared" si="11"/>
        <v/>
      </c>
      <c r="R248" s="370">
        <f t="shared" si="12"/>
        <v>0</v>
      </c>
      <c r="S248" s="370">
        <f t="shared" si="13"/>
        <v>0</v>
      </c>
      <c r="T248" s="1"/>
    </row>
    <row r="249" ht="12.75" customHeight="1">
      <c r="A249" s="1">
        <v>238.0</v>
      </c>
      <c r="B249" s="408">
        <f t="shared" si="5"/>
        <v>0</v>
      </c>
      <c r="C249" s="408">
        <f t="shared" si="6"/>
        <v>0</v>
      </c>
      <c r="D249" s="409">
        <f t="shared" si="7"/>
        <v>0</v>
      </c>
      <c r="E249" s="176">
        <f t="shared" si="8"/>
        <v>-0.000000001528301013</v>
      </c>
      <c r="F249" s="408">
        <f t="shared" si="14"/>
        <v>16306617.46</v>
      </c>
      <c r="G249" s="408">
        <f t="shared" si="15"/>
        <v>30373143.87</v>
      </c>
      <c r="H249" s="410">
        <f t="shared" si="16"/>
        <v>0.0275</v>
      </c>
      <c r="I249" s="1">
        <f t="shared" si="1"/>
        <v>238</v>
      </c>
      <c r="J249" s="406">
        <f t="shared" si="17"/>
        <v>51410</v>
      </c>
      <c r="K249" s="105">
        <f t="shared" si="9"/>
        <v>20</v>
      </c>
      <c r="L249" s="411">
        <f t="shared" si="10"/>
        <v>0</v>
      </c>
      <c r="M249" s="407">
        <f t="shared" si="2"/>
        <v>0</v>
      </c>
      <c r="N249" s="407">
        <f t="shared" si="3"/>
        <v>0</v>
      </c>
      <c r="O249" s="407">
        <f t="shared" si="4"/>
        <v>-0.000000001528301013</v>
      </c>
      <c r="P249" s="368" t="str">
        <f>IF(AND(K249&gt;K248,K249-2+1='Pro Forma Detail'!D$66),E246,)</f>
        <v/>
      </c>
      <c r="Q249" s="369" t="str">
        <f t="shared" si="11"/>
        <v/>
      </c>
      <c r="R249" s="370">
        <f t="shared" si="12"/>
        <v>0</v>
      </c>
      <c r="S249" s="370">
        <f t="shared" si="13"/>
        <v>0</v>
      </c>
      <c r="T249" s="1"/>
    </row>
    <row r="250" ht="12.75" customHeight="1">
      <c r="A250" s="1">
        <v>239.0</v>
      </c>
      <c r="B250" s="408">
        <f t="shared" si="5"/>
        <v>0</v>
      </c>
      <c r="C250" s="408">
        <f t="shared" si="6"/>
        <v>0</v>
      </c>
      <c r="D250" s="409">
        <f t="shared" si="7"/>
        <v>0</v>
      </c>
      <c r="E250" s="176">
        <f t="shared" si="8"/>
        <v>-0.000000001517429384</v>
      </c>
      <c r="F250" s="408">
        <f t="shared" si="14"/>
        <v>16306617.46</v>
      </c>
      <c r="G250" s="408">
        <f t="shared" si="15"/>
        <v>30373143.87</v>
      </c>
      <c r="H250" s="410">
        <f t="shared" si="16"/>
        <v>0.0275</v>
      </c>
      <c r="I250" s="1">
        <f t="shared" si="1"/>
        <v>239</v>
      </c>
      <c r="J250" s="406">
        <f t="shared" si="17"/>
        <v>51441</v>
      </c>
      <c r="K250" s="105">
        <f t="shared" si="9"/>
        <v>20</v>
      </c>
      <c r="L250" s="411">
        <f t="shared" si="10"/>
        <v>0</v>
      </c>
      <c r="M250" s="407">
        <f t="shared" si="2"/>
        <v>0</v>
      </c>
      <c r="N250" s="407">
        <f t="shared" si="3"/>
        <v>0</v>
      </c>
      <c r="O250" s="407">
        <f t="shared" si="4"/>
        <v>-0.000000001517429384</v>
      </c>
      <c r="P250" s="368" t="str">
        <f>IF(AND(K250&gt;K249,K250-2+1='Pro Forma Detail'!D$66),E247,)</f>
        <v/>
      </c>
      <c r="Q250" s="369" t="str">
        <f t="shared" si="11"/>
        <v/>
      </c>
      <c r="R250" s="370">
        <f t="shared" si="12"/>
        <v>0</v>
      </c>
      <c r="S250" s="370">
        <f t="shared" si="13"/>
        <v>0</v>
      </c>
      <c r="T250" s="1"/>
    </row>
    <row r="251" ht="12.75" customHeight="1">
      <c r="A251" s="1">
        <v>240.0</v>
      </c>
      <c r="B251" s="408">
        <f t="shared" si="5"/>
        <v>0</v>
      </c>
      <c r="C251" s="408">
        <f t="shared" si="6"/>
        <v>0</v>
      </c>
      <c r="D251" s="409">
        <f t="shared" si="7"/>
        <v>0</v>
      </c>
      <c r="E251" s="176">
        <f t="shared" si="8"/>
        <v>-0.000000001506532842</v>
      </c>
      <c r="F251" s="408">
        <f t="shared" si="14"/>
        <v>16306617.46</v>
      </c>
      <c r="G251" s="408">
        <f t="shared" si="15"/>
        <v>30373143.87</v>
      </c>
      <c r="H251" s="410">
        <f t="shared" si="16"/>
        <v>0.0275</v>
      </c>
      <c r="I251" s="1">
        <f t="shared" si="1"/>
        <v>240</v>
      </c>
      <c r="J251" s="406">
        <f t="shared" si="17"/>
        <v>51471</v>
      </c>
      <c r="K251" s="105">
        <f t="shared" si="9"/>
        <v>20</v>
      </c>
      <c r="L251" s="411">
        <f t="shared" si="10"/>
        <v>0</v>
      </c>
      <c r="M251" s="407">
        <f t="shared" si="2"/>
        <v>0</v>
      </c>
      <c r="N251" s="407">
        <f t="shared" si="3"/>
        <v>0</v>
      </c>
      <c r="O251" s="407">
        <f t="shared" si="4"/>
        <v>-0.000000001506532842</v>
      </c>
      <c r="P251" s="368" t="str">
        <f>IF(AND(K251&gt;K250,K251-2+1='Pro Forma Detail'!D$66),E248,)</f>
        <v/>
      </c>
      <c r="Q251" s="369" t="str">
        <f t="shared" si="11"/>
        <v/>
      </c>
      <c r="R251" s="370">
        <f t="shared" si="12"/>
        <v>0</v>
      </c>
      <c r="S251" s="370">
        <f t="shared" si="13"/>
        <v>0</v>
      </c>
      <c r="T251" s="1"/>
    </row>
    <row r="252" ht="12.75" customHeight="1">
      <c r="A252" s="1">
        <v>241.0</v>
      </c>
      <c r="B252" s="408">
        <f t="shared" si="5"/>
        <v>0</v>
      </c>
      <c r="C252" s="408">
        <f t="shared" si="6"/>
        <v>0</v>
      </c>
      <c r="D252" s="409">
        <f t="shared" si="7"/>
        <v>0</v>
      </c>
      <c r="E252" s="176">
        <f t="shared" si="8"/>
        <v>-0.000000001495611328</v>
      </c>
      <c r="F252" s="408">
        <f t="shared" si="14"/>
        <v>16306617.46</v>
      </c>
      <c r="G252" s="408">
        <f t="shared" si="15"/>
        <v>30373143.87</v>
      </c>
      <c r="H252" s="410">
        <f t="shared" si="16"/>
        <v>0.0275</v>
      </c>
      <c r="I252" s="1">
        <f t="shared" si="1"/>
        <v>241</v>
      </c>
      <c r="J252" s="406">
        <f t="shared" si="17"/>
        <v>51502</v>
      </c>
      <c r="K252" s="105">
        <f t="shared" si="9"/>
        <v>21</v>
      </c>
      <c r="L252" s="411">
        <f t="shared" si="10"/>
        <v>0</v>
      </c>
      <c r="M252" s="407">
        <f t="shared" si="2"/>
        <v>0</v>
      </c>
      <c r="N252" s="407">
        <f t="shared" si="3"/>
        <v>0</v>
      </c>
      <c r="O252" s="407">
        <f t="shared" si="4"/>
        <v>-0.000000001495611328</v>
      </c>
      <c r="P252" s="368" t="str">
        <f>IF(AND(K252&gt;K251,K252-2+1='Pro Forma Detail'!D$66),E249,)</f>
        <v/>
      </c>
      <c r="Q252" s="369" t="str">
        <f t="shared" si="11"/>
        <v/>
      </c>
      <c r="R252" s="370">
        <f t="shared" si="12"/>
        <v>0</v>
      </c>
      <c r="S252" s="370">
        <f t="shared" si="13"/>
        <v>0</v>
      </c>
      <c r="T252" s="1"/>
    </row>
    <row r="253" ht="12.75" customHeight="1">
      <c r="A253" s="1">
        <v>242.0</v>
      </c>
      <c r="B253" s="408">
        <f t="shared" si="5"/>
        <v>0</v>
      </c>
      <c r="C253" s="408">
        <f t="shared" si="6"/>
        <v>0</v>
      </c>
      <c r="D253" s="409">
        <f t="shared" si="7"/>
        <v>0</v>
      </c>
      <c r="E253" s="176">
        <f t="shared" si="8"/>
        <v>-0.000000001484664785</v>
      </c>
      <c r="F253" s="408">
        <f t="shared" si="14"/>
        <v>16306617.46</v>
      </c>
      <c r="G253" s="408">
        <f t="shared" si="15"/>
        <v>30373143.87</v>
      </c>
      <c r="H253" s="410">
        <f t="shared" si="16"/>
        <v>0.0275</v>
      </c>
      <c r="I253" s="1">
        <f t="shared" si="1"/>
        <v>242</v>
      </c>
      <c r="J253" s="406">
        <f t="shared" si="17"/>
        <v>51533</v>
      </c>
      <c r="K253" s="105">
        <f t="shared" si="9"/>
        <v>21</v>
      </c>
      <c r="L253" s="411">
        <f t="shared" si="10"/>
        <v>0</v>
      </c>
      <c r="M253" s="407">
        <f t="shared" si="2"/>
        <v>0</v>
      </c>
      <c r="N253" s="407">
        <f t="shared" si="3"/>
        <v>0</v>
      </c>
      <c r="O253" s="407">
        <f t="shared" si="4"/>
        <v>-0.000000001484664785</v>
      </c>
      <c r="P253" s="368" t="str">
        <f>IF(AND(K253&gt;K252,K253-2+1='Pro Forma Detail'!D$66),E250,)</f>
        <v/>
      </c>
      <c r="Q253" s="369" t="str">
        <f t="shared" si="11"/>
        <v/>
      </c>
      <c r="R253" s="370">
        <f t="shared" si="12"/>
        <v>0</v>
      </c>
      <c r="S253" s="370">
        <f t="shared" si="13"/>
        <v>0</v>
      </c>
      <c r="T253" s="1"/>
    </row>
    <row r="254" ht="12.75" customHeight="1">
      <c r="A254" s="1">
        <v>243.0</v>
      </c>
      <c r="B254" s="408">
        <f t="shared" si="5"/>
        <v>0</v>
      </c>
      <c r="C254" s="408">
        <f t="shared" si="6"/>
        <v>0</v>
      </c>
      <c r="D254" s="409">
        <f t="shared" si="7"/>
        <v>0</v>
      </c>
      <c r="E254" s="176">
        <f t="shared" si="8"/>
        <v>-0.000000001473693157</v>
      </c>
      <c r="F254" s="408">
        <f t="shared" si="14"/>
        <v>16306617.46</v>
      </c>
      <c r="G254" s="408">
        <f t="shared" si="15"/>
        <v>30373143.87</v>
      </c>
      <c r="H254" s="410">
        <f t="shared" si="16"/>
        <v>0.0275</v>
      </c>
      <c r="I254" s="1">
        <f t="shared" si="1"/>
        <v>243</v>
      </c>
      <c r="J254" s="406">
        <f t="shared" si="17"/>
        <v>51561</v>
      </c>
      <c r="K254" s="105">
        <f t="shared" si="9"/>
        <v>21</v>
      </c>
      <c r="L254" s="411">
        <f t="shared" si="10"/>
        <v>0</v>
      </c>
      <c r="M254" s="407">
        <f t="shared" si="2"/>
        <v>0</v>
      </c>
      <c r="N254" s="407">
        <f t="shared" si="3"/>
        <v>0</v>
      </c>
      <c r="O254" s="407">
        <f t="shared" si="4"/>
        <v>-0.000000001473693157</v>
      </c>
      <c r="P254" s="368" t="str">
        <f>IF(AND(K254&gt;K253,K254-2+1='Pro Forma Detail'!D$66),E251,)</f>
        <v/>
      </c>
      <c r="Q254" s="369" t="str">
        <f t="shared" si="11"/>
        <v/>
      </c>
      <c r="R254" s="370">
        <f t="shared" si="12"/>
        <v>0</v>
      </c>
      <c r="S254" s="370">
        <f t="shared" si="13"/>
        <v>0</v>
      </c>
      <c r="T254" s="1"/>
    </row>
    <row r="255" ht="12.75" customHeight="1">
      <c r="A255" s="1">
        <v>244.0</v>
      </c>
      <c r="B255" s="408">
        <f t="shared" si="5"/>
        <v>0</v>
      </c>
      <c r="C255" s="408">
        <f t="shared" si="6"/>
        <v>0</v>
      </c>
      <c r="D255" s="409">
        <f t="shared" si="7"/>
        <v>0</v>
      </c>
      <c r="E255" s="176">
        <f t="shared" si="8"/>
        <v>-0.000000001462696385</v>
      </c>
      <c r="F255" s="408">
        <f t="shared" si="14"/>
        <v>16306617.46</v>
      </c>
      <c r="G255" s="408">
        <f t="shared" si="15"/>
        <v>30373143.87</v>
      </c>
      <c r="H255" s="410">
        <f t="shared" si="16"/>
        <v>0.0275</v>
      </c>
      <c r="I255" s="1">
        <f t="shared" si="1"/>
        <v>244</v>
      </c>
      <c r="J255" s="406">
        <f t="shared" si="17"/>
        <v>51592</v>
      </c>
      <c r="K255" s="105">
        <f t="shared" si="9"/>
        <v>21</v>
      </c>
      <c r="L255" s="411">
        <f t="shared" si="10"/>
        <v>0</v>
      </c>
      <c r="M255" s="407">
        <f t="shared" si="2"/>
        <v>0</v>
      </c>
      <c r="N255" s="407">
        <f t="shared" si="3"/>
        <v>0</v>
      </c>
      <c r="O255" s="407">
        <f t="shared" si="4"/>
        <v>-0.000000001462696385</v>
      </c>
      <c r="P255" s="368" t="str">
        <f>IF(AND(K255&gt;K254,K255-2+1='Pro Forma Detail'!D$66),E252,)</f>
        <v/>
      </c>
      <c r="Q255" s="369" t="str">
        <f t="shared" si="11"/>
        <v/>
      </c>
      <c r="R255" s="370">
        <f t="shared" si="12"/>
        <v>0</v>
      </c>
      <c r="S255" s="370">
        <f t="shared" si="13"/>
        <v>0</v>
      </c>
      <c r="T255" s="1"/>
    </row>
    <row r="256" ht="12.75" customHeight="1">
      <c r="A256" s="1">
        <v>245.0</v>
      </c>
      <c r="B256" s="408">
        <f t="shared" si="5"/>
        <v>0</v>
      </c>
      <c r="C256" s="408">
        <f t="shared" si="6"/>
        <v>0</v>
      </c>
      <c r="D256" s="409">
        <f t="shared" si="7"/>
        <v>0</v>
      </c>
      <c r="E256" s="176">
        <f t="shared" si="8"/>
        <v>-0.000000001451674413</v>
      </c>
      <c r="F256" s="408">
        <f t="shared" si="14"/>
        <v>16306617.46</v>
      </c>
      <c r="G256" s="408">
        <f t="shared" si="15"/>
        <v>30373143.87</v>
      </c>
      <c r="H256" s="410">
        <f t="shared" si="16"/>
        <v>0.0275</v>
      </c>
      <c r="I256" s="1">
        <f t="shared" si="1"/>
        <v>245</v>
      </c>
      <c r="J256" s="406">
        <f t="shared" si="17"/>
        <v>51622</v>
      </c>
      <c r="K256" s="105">
        <f t="shared" si="9"/>
        <v>21</v>
      </c>
      <c r="L256" s="411">
        <f t="shared" si="10"/>
        <v>0</v>
      </c>
      <c r="M256" s="407">
        <f t="shared" si="2"/>
        <v>0</v>
      </c>
      <c r="N256" s="407">
        <f t="shared" si="3"/>
        <v>0</v>
      </c>
      <c r="O256" s="407">
        <f t="shared" si="4"/>
        <v>-0.000000001451674413</v>
      </c>
      <c r="P256" s="368" t="str">
        <f>IF(AND(K256&gt;K255,K256-2+1='Pro Forma Detail'!D$66),E253,)</f>
        <v/>
      </c>
      <c r="Q256" s="369" t="str">
        <f t="shared" si="11"/>
        <v/>
      </c>
      <c r="R256" s="370">
        <f t="shared" si="12"/>
        <v>0</v>
      </c>
      <c r="S256" s="370">
        <f t="shared" si="13"/>
        <v>0</v>
      </c>
      <c r="T256" s="1"/>
    </row>
    <row r="257" ht="12.75" customHeight="1">
      <c r="A257" s="1">
        <v>246.0</v>
      </c>
      <c r="B257" s="408">
        <f t="shared" si="5"/>
        <v>0</v>
      </c>
      <c r="C257" s="408">
        <f t="shared" si="6"/>
        <v>0</v>
      </c>
      <c r="D257" s="409">
        <f t="shared" si="7"/>
        <v>0</v>
      </c>
      <c r="E257" s="176">
        <f t="shared" si="8"/>
        <v>-0.000000001440627181</v>
      </c>
      <c r="F257" s="408">
        <f t="shared" si="14"/>
        <v>16306617.46</v>
      </c>
      <c r="G257" s="408">
        <f t="shared" si="15"/>
        <v>30373143.87</v>
      </c>
      <c r="H257" s="410">
        <f t="shared" si="16"/>
        <v>0.0275</v>
      </c>
      <c r="I257" s="1">
        <f t="shared" si="1"/>
        <v>246</v>
      </c>
      <c r="J257" s="406">
        <f t="shared" si="17"/>
        <v>51653</v>
      </c>
      <c r="K257" s="105">
        <f t="shared" si="9"/>
        <v>21</v>
      </c>
      <c r="L257" s="411">
        <f t="shared" si="10"/>
        <v>0</v>
      </c>
      <c r="M257" s="407">
        <f t="shared" si="2"/>
        <v>0</v>
      </c>
      <c r="N257" s="407">
        <f t="shared" si="3"/>
        <v>0</v>
      </c>
      <c r="O257" s="407">
        <f t="shared" si="4"/>
        <v>-0.000000001440627181</v>
      </c>
      <c r="P257" s="368" t="str">
        <f>IF(AND(K257&gt;K256,K257-2+1='Pro Forma Detail'!D$66),E254,)</f>
        <v/>
      </c>
      <c r="Q257" s="369" t="str">
        <f t="shared" si="11"/>
        <v/>
      </c>
      <c r="R257" s="370">
        <f t="shared" si="12"/>
        <v>0</v>
      </c>
      <c r="S257" s="370">
        <f t="shared" si="13"/>
        <v>0</v>
      </c>
      <c r="T257" s="1"/>
    </row>
    <row r="258" ht="12.75" customHeight="1">
      <c r="A258" s="1">
        <v>247.0</v>
      </c>
      <c r="B258" s="408">
        <f t="shared" si="5"/>
        <v>0</v>
      </c>
      <c r="C258" s="408">
        <f t="shared" si="6"/>
        <v>0</v>
      </c>
      <c r="D258" s="409">
        <f t="shared" si="7"/>
        <v>0</v>
      </c>
      <c r="E258" s="176">
        <f t="shared" si="8"/>
        <v>-0.000000001429554634</v>
      </c>
      <c r="F258" s="408">
        <f t="shared" si="14"/>
        <v>16306617.46</v>
      </c>
      <c r="G258" s="408">
        <f t="shared" si="15"/>
        <v>30373143.87</v>
      </c>
      <c r="H258" s="410">
        <f t="shared" si="16"/>
        <v>0.0275</v>
      </c>
      <c r="I258" s="1">
        <f t="shared" si="1"/>
        <v>247</v>
      </c>
      <c r="J258" s="406">
        <f t="shared" si="17"/>
        <v>51683</v>
      </c>
      <c r="K258" s="105">
        <f t="shared" si="9"/>
        <v>21</v>
      </c>
      <c r="L258" s="411">
        <f t="shared" si="10"/>
        <v>0</v>
      </c>
      <c r="M258" s="407">
        <f t="shared" si="2"/>
        <v>0</v>
      </c>
      <c r="N258" s="407">
        <f t="shared" si="3"/>
        <v>0</v>
      </c>
      <c r="O258" s="407">
        <f t="shared" si="4"/>
        <v>-0.000000001429554634</v>
      </c>
      <c r="P258" s="368" t="str">
        <f>IF(AND(K258&gt;K257,K258-2+1='Pro Forma Detail'!D$66),E255,)</f>
        <v/>
      </c>
      <c r="Q258" s="369" t="str">
        <f t="shared" si="11"/>
        <v/>
      </c>
      <c r="R258" s="370">
        <f t="shared" si="12"/>
        <v>0</v>
      </c>
      <c r="S258" s="370">
        <f t="shared" si="13"/>
        <v>0</v>
      </c>
      <c r="T258" s="1"/>
    </row>
    <row r="259" ht="12.75" customHeight="1">
      <c r="A259" s="1">
        <v>248.0</v>
      </c>
      <c r="B259" s="408">
        <f t="shared" si="5"/>
        <v>0</v>
      </c>
      <c r="C259" s="408">
        <f t="shared" si="6"/>
        <v>0</v>
      </c>
      <c r="D259" s="409">
        <f t="shared" si="7"/>
        <v>0</v>
      </c>
      <c r="E259" s="176">
        <f t="shared" si="8"/>
        <v>-0.000000001418456711</v>
      </c>
      <c r="F259" s="408">
        <f t="shared" si="14"/>
        <v>16306617.46</v>
      </c>
      <c r="G259" s="408">
        <f t="shared" si="15"/>
        <v>30373143.87</v>
      </c>
      <c r="H259" s="410">
        <f t="shared" si="16"/>
        <v>0.0275</v>
      </c>
      <c r="I259" s="1">
        <f t="shared" si="1"/>
        <v>248</v>
      </c>
      <c r="J259" s="406">
        <f t="shared" si="17"/>
        <v>51714</v>
      </c>
      <c r="K259" s="105">
        <f t="shared" si="9"/>
        <v>21</v>
      </c>
      <c r="L259" s="411">
        <f t="shared" si="10"/>
        <v>0</v>
      </c>
      <c r="M259" s="407">
        <f t="shared" si="2"/>
        <v>0</v>
      </c>
      <c r="N259" s="407">
        <f t="shared" si="3"/>
        <v>0</v>
      </c>
      <c r="O259" s="407">
        <f t="shared" si="4"/>
        <v>-0.000000001418456711</v>
      </c>
      <c r="P259" s="368" t="str">
        <f>IF(AND(K259&gt;K258,K259-2+1='Pro Forma Detail'!D$66),E256,)</f>
        <v/>
      </c>
      <c r="Q259" s="369" t="str">
        <f t="shared" si="11"/>
        <v/>
      </c>
      <c r="R259" s="370">
        <f t="shared" si="12"/>
        <v>0</v>
      </c>
      <c r="S259" s="370">
        <f t="shared" si="13"/>
        <v>0</v>
      </c>
      <c r="T259" s="1"/>
    </row>
    <row r="260" ht="12.75" customHeight="1">
      <c r="A260" s="1">
        <v>249.0</v>
      </c>
      <c r="B260" s="408">
        <f t="shared" si="5"/>
        <v>0</v>
      </c>
      <c r="C260" s="408">
        <f t="shared" si="6"/>
        <v>0</v>
      </c>
      <c r="D260" s="409">
        <f t="shared" si="7"/>
        <v>0</v>
      </c>
      <c r="E260" s="176">
        <f t="shared" si="8"/>
        <v>-0.000000001407333356</v>
      </c>
      <c r="F260" s="408">
        <f t="shared" si="14"/>
        <v>16306617.46</v>
      </c>
      <c r="G260" s="408">
        <f t="shared" si="15"/>
        <v>30373143.87</v>
      </c>
      <c r="H260" s="410">
        <f t="shared" si="16"/>
        <v>0.0275</v>
      </c>
      <c r="I260" s="1">
        <f t="shared" si="1"/>
        <v>249</v>
      </c>
      <c r="J260" s="406">
        <f t="shared" si="17"/>
        <v>51745</v>
      </c>
      <c r="K260" s="105">
        <f t="shared" si="9"/>
        <v>21</v>
      </c>
      <c r="L260" s="411">
        <f t="shared" si="10"/>
        <v>0</v>
      </c>
      <c r="M260" s="407">
        <f t="shared" si="2"/>
        <v>0</v>
      </c>
      <c r="N260" s="407">
        <f t="shared" si="3"/>
        <v>0</v>
      </c>
      <c r="O260" s="407">
        <f t="shared" si="4"/>
        <v>-0.000000001407333356</v>
      </c>
      <c r="P260" s="368" t="str">
        <f>IF(AND(K260&gt;K259,K260-2+1='Pro Forma Detail'!D$66),E257,)</f>
        <v/>
      </c>
      <c r="Q260" s="369" t="str">
        <f t="shared" si="11"/>
        <v/>
      </c>
      <c r="R260" s="370">
        <f t="shared" si="12"/>
        <v>0</v>
      </c>
      <c r="S260" s="370">
        <f t="shared" si="13"/>
        <v>0</v>
      </c>
      <c r="T260" s="1"/>
    </row>
    <row r="261" ht="12.75" customHeight="1">
      <c r="A261" s="1">
        <v>250.0</v>
      </c>
      <c r="B261" s="408">
        <f t="shared" si="5"/>
        <v>0</v>
      </c>
      <c r="C261" s="408">
        <f t="shared" si="6"/>
        <v>0</v>
      </c>
      <c r="D261" s="409">
        <f t="shared" si="7"/>
        <v>0</v>
      </c>
      <c r="E261" s="176">
        <f t="shared" si="8"/>
        <v>-0.00000000139618451</v>
      </c>
      <c r="F261" s="408">
        <f t="shared" si="14"/>
        <v>16306617.46</v>
      </c>
      <c r="G261" s="408">
        <f t="shared" si="15"/>
        <v>30373143.87</v>
      </c>
      <c r="H261" s="410">
        <f t="shared" si="16"/>
        <v>0.0275</v>
      </c>
      <c r="I261" s="1">
        <f t="shared" si="1"/>
        <v>250</v>
      </c>
      <c r="J261" s="406">
        <f t="shared" si="17"/>
        <v>51775</v>
      </c>
      <c r="K261" s="105">
        <f t="shared" si="9"/>
        <v>21</v>
      </c>
      <c r="L261" s="411">
        <f t="shared" si="10"/>
        <v>0</v>
      </c>
      <c r="M261" s="407">
        <f t="shared" si="2"/>
        <v>0</v>
      </c>
      <c r="N261" s="407">
        <f t="shared" si="3"/>
        <v>0</v>
      </c>
      <c r="O261" s="407">
        <f t="shared" si="4"/>
        <v>-0.00000000139618451</v>
      </c>
      <c r="P261" s="368" t="str">
        <f>IF(AND(K261&gt;K260,K261-2+1='Pro Forma Detail'!D$66),E258,)</f>
        <v/>
      </c>
      <c r="Q261" s="369" t="str">
        <f t="shared" si="11"/>
        <v/>
      </c>
      <c r="R261" s="370">
        <f t="shared" si="12"/>
        <v>0</v>
      </c>
      <c r="S261" s="370">
        <f t="shared" si="13"/>
        <v>0</v>
      </c>
      <c r="T261" s="1"/>
    </row>
    <row r="262" ht="12.75" customHeight="1">
      <c r="A262" s="1">
        <v>251.0</v>
      </c>
      <c r="B262" s="408">
        <f t="shared" si="5"/>
        <v>0</v>
      </c>
      <c r="C262" s="408">
        <f t="shared" si="6"/>
        <v>0</v>
      </c>
      <c r="D262" s="409">
        <f t="shared" si="7"/>
        <v>0</v>
      </c>
      <c r="E262" s="176">
        <f t="shared" si="8"/>
        <v>-0.000000001385010114</v>
      </c>
      <c r="F262" s="408">
        <f t="shared" si="14"/>
        <v>16306617.46</v>
      </c>
      <c r="G262" s="408">
        <f t="shared" si="15"/>
        <v>30373143.87</v>
      </c>
      <c r="H262" s="410">
        <f t="shared" si="16"/>
        <v>0.0275</v>
      </c>
      <c r="I262" s="1">
        <f t="shared" si="1"/>
        <v>251</v>
      </c>
      <c r="J262" s="406">
        <f t="shared" si="17"/>
        <v>51806</v>
      </c>
      <c r="K262" s="105">
        <f t="shared" si="9"/>
        <v>21</v>
      </c>
      <c r="L262" s="411">
        <f t="shared" si="10"/>
        <v>0</v>
      </c>
      <c r="M262" s="407">
        <f t="shared" si="2"/>
        <v>0</v>
      </c>
      <c r="N262" s="407">
        <f t="shared" si="3"/>
        <v>0</v>
      </c>
      <c r="O262" s="407">
        <f t="shared" si="4"/>
        <v>-0.000000001385010114</v>
      </c>
      <c r="P262" s="368" t="str">
        <f>IF(AND(K262&gt;K261,K262-2+1='Pro Forma Detail'!D$66),E259,)</f>
        <v/>
      </c>
      <c r="Q262" s="369" t="str">
        <f t="shared" si="11"/>
        <v/>
      </c>
      <c r="R262" s="370">
        <f t="shared" si="12"/>
        <v>0</v>
      </c>
      <c r="S262" s="370">
        <f t="shared" si="13"/>
        <v>0</v>
      </c>
      <c r="T262" s="1"/>
    </row>
    <row r="263" ht="12.75" customHeight="1">
      <c r="A263" s="1">
        <v>252.0</v>
      </c>
      <c r="B263" s="408">
        <f t="shared" si="5"/>
        <v>0</v>
      </c>
      <c r="C263" s="408">
        <f t="shared" si="6"/>
        <v>0</v>
      </c>
      <c r="D263" s="409">
        <f t="shared" si="7"/>
        <v>0</v>
      </c>
      <c r="E263" s="176">
        <f t="shared" si="8"/>
        <v>-0.000000001373810111</v>
      </c>
      <c r="F263" s="408">
        <f t="shared" si="14"/>
        <v>16306617.46</v>
      </c>
      <c r="G263" s="408">
        <f t="shared" si="15"/>
        <v>30373143.87</v>
      </c>
      <c r="H263" s="410">
        <f t="shared" si="16"/>
        <v>0.0275</v>
      </c>
      <c r="I263" s="1">
        <f t="shared" si="1"/>
        <v>252</v>
      </c>
      <c r="J263" s="406">
        <f t="shared" si="17"/>
        <v>51836</v>
      </c>
      <c r="K263" s="105">
        <f t="shared" si="9"/>
        <v>21</v>
      </c>
      <c r="L263" s="411">
        <f t="shared" si="10"/>
        <v>0</v>
      </c>
      <c r="M263" s="407">
        <f t="shared" si="2"/>
        <v>0</v>
      </c>
      <c r="N263" s="407">
        <f t="shared" si="3"/>
        <v>0</v>
      </c>
      <c r="O263" s="407">
        <f t="shared" si="4"/>
        <v>-0.000000001373810111</v>
      </c>
      <c r="P263" s="368" t="str">
        <f>IF(AND(K263&gt;K262,K263-2+1='Pro Forma Detail'!D$66),E260,)</f>
        <v/>
      </c>
      <c r="Q263" s="369" t="str">
        <f t="shared" si="11"/>
        <v/>
      </c>
      <c r="R263" s="370">
        <f t="shared" si="12"/>
        <v>0</v>
      </c>
      <c r="S263" s="370">
        <f t="shared" si="13"/>
        <v>0</v>
      </c>
      <c r="T263" s="1"/>
    </row>
    <row r="264" ht="12.75" customHeight="1">
      <c r="A264" s="1">
        <v>253.0</v>
      </c>
      <c r="B264" s="408">
        <f t="shared" si="5"/>
        <v>0</v>
      </c>
      <c r="C264" s="408">
        <f t="shared" si="6"/>
        <v>0</v>
      </c>
      <c r="D264" s="409">
        <f t="shared" si="7"/>
        <v>0</v>
      </c>
      <c r="E264" s="176">
        <f t="shared" si="8"/>
        <v>-0.00000000136258444</v>
      </c>
      <c r="F264" s="408">
        <f t="shared" si="14"/>
        <v>16306617.46</v>
      </c>
      <c r="G264" s="408">
        <f t="shared" si="15"/>
        <v>30373143.87</v>
      </c>
      <c r="H264" s="410">
        <f t="shared" si="16"/>
        <v>0.0275</v>
      </c>
      <c r="I264" s="1">
        <f t="shared" si="1"/>
        <v>253</v>
      </c>
      <c r="J264" s="406">
        <f t="shared" si="17"/>
        <v>51867</v>
      </c>
      <c r="K264" s="105">
        <f t="shared" si="9"/>
        <v>22</v>
      </c>
      <c r="L264" s="411">
        <f t="shared" si="10"/>
        <v>0</v>
      </c>
      <c r="M264" s="407">
        <f t="shared" si="2"/>
        <v>0</v>
      </c>
      <c r="N264" s="407">
        <f t="shared" si="3"/>
        <v>0</v>
      </c>
      <c r="O264" s="407">
        <f t="shared" si="4"/>
        <v>-0.00000000136258444</v>
      </c>
      <c r="P264" s="368" t="str">
        <f>IF(AND(K264&gt;K263,K264-2+1='Pro Forma Detail'!D$66),E261,)</f>
        <v/>
      </c>
      <c r="Q264" s="369" t="str">
        <f t="shared" si="11"/>
        <v/>
      </c>
      <c r="R264" s="370">
        <f t="shared" si="12"/>
        <v>0</v>
      </c>
      <c r="S264" s="370">
        <f t="shared" si="13"/>
        <v>0</v>
      </c>
      <c r="T264" s="1"/>
    </row>
    <row r="265" ht="12.75" customHeight="1">
      <c r="A265" s="1">
        <v>254.0</v>
      </c>
      <c r="B265" s="408">
        <f t="shared" si="5"/>
        <v>0</v>
      </c>
      <c r="C265" s="408">
        <f t="shared" si="6"/>
        <v>0</v>
      </c>
      <c r="D265" s="409">
        <f t="shared" si="7"/>
        <v>0</v>
      </c>
      <c r="E265" s="176">
        <f t="shared" si="8"/>
        <v>-0.000000001351333045</v>
      </c>
      <c r="F265" s="408">
        <f t="shared" si="14"/>
        <v>16306617.46</v>
      </c>
      <c r="G265" s="408">
        <f t="shared" si="15"/>
        <v>30373143.87</v>
      </c>
      <c r="H265" s="410">
        <f t="shared" si="16"/>
        <v>0.0275</v>
      </c>
      <c r="I265" s="1">
        <f t="shared" si="1"/>
        <v>254</v>
      </c>
      <c r="J265" s="406">
        <f t="shared" si="17"/>
        <v>51898</v>
      </c>
      <c r="K265" s="105">
        <f t="shared" si="9"/>
        <v>22</v>
      </c>
      <c r="L265" s="411">
        <f t="shared" si="10"/>
        <v>0</v>
      </c>
      <c r="M265" s="407">
        <f t="shared" si="2"/>
        <v>0</v>
      </c>
      <c r="N265" s="407">
        <f t="shared" si="3"/>
        <v>0</v>
      </c>
      <c r="O265" s="407">
        <f t="shared" si="4"/>
        <v>-0.000000001351333045</v>
      </c>
      <c r="P265" s="368" t="str">
        <f>IF(AND(K265&gt;K264,K265-2+1='Pro Forma Detail'!D$66),E262,)</f>
        <v/>
      </c>
      <c r="Q265" s="369" t="str">
        <f t="shared" si="11"/>
        <v/>
      </c>
      <c r="R265" s="370">
        <f t="shared" si="12"/>
        <v>0</v>
      </c>
      <c r="S265" s="370">
        <f t="shared" si="13"/>
        <v>0</v>
      </c>
      <c r="T265" s="1"/>
    </row>
    <row r="266" ht="12.75" customHeight="1">
      <c r="A266" s="1">
        <v>255.0</v>
      </c>
      <c r="B266" s="408">
        <f t="shared" si="5"/>
        <v>0</v>
      </c>
      <c r="C266" s="408">
        <f t="shared" si="6"/>
        <v>0</v>
      </c>
      <c r="D266" s="409">
        <f t="shared" si="7"/>
        <v>0</v>
      </c>
      <c r="E266" s="176">
        <f t="shared" si="8"/>
        <v>-0.000000001340055864</v>
      </c>
      <c r="F266" s="408">
        <f t="shared" si="14"/>
        <v>16306617.46</v>
      </c>
      <c r="G266" s="408">
        <f t="shared" si="15"/>
        <v>30373143.87</v>
      </c>
      <c r="H266" s="410">
        <f t="shared" si="16"/>
        <v>0.0275</v>
      </c>
      <c r="I266" s="1">
        <f t="shared" si="1"/>
        <v>255</v>
      </c>
      <c r="J266" s="406">
        <f t="shared" si="17"/>
        <v>51926</v>
      </c>
      <c r="K266" s="105">
        <f t="shared" si="9"/>
        <v>22</v>
      </c>
      <c r="L266" s="411">
        <f t="shared" si="10"/>
        <v>0</v>
      </c>
      <c r="M266" s="407">
        <f t="shared" si="2"/>
        <v>0</v>
      </c>
      <c r="N266" s="407">
        <f t="shared" si="3"/>
        <v>0</v>
      </c>
      <c r="O266" s="407">
        <f t="shared" si="4"/>
        <v>-0.000000001340055864</v>
      </c>
      <c r="P266" s="368" t="str">
        <f>IF(AND(K266&gt;K265,K266-2+1='Pro Forma Detail'!D$66),E263,)</f>
        <v/>
      </c>
      <c r="Q266" s="369" t="str">
        <f t="shared" si="11"/>
        <v/>
      </c>
      <c r="R266" s="370">
        <f t="shared" si="12"/>
        <v>0</v>
      </c>
      <c r="S266" s="370">
        <f t="shared" si="13"/>
        <v>0</v>
      </c>
      <c r="T266" s="1"/>
    </row>
    <row r="267" ht="12.75" customHeight="1">
      <c r="A267" s="1">
        <v>256.0</v>
      </c>
      <c r="B267" s="408">
        <f t="shared" si="5"/>
        <v>0</v>
      </c>
      <c r="C267" s="408">
        <f t="shared" si="6"/>
        <v>0</v>
      </c>
      <c r="D267" s="409">
        <f t="shared" si="7"/>
        <v>0</v>
      </c>
      <c r="E267" s="176">
        <f t="shared" si="8"/>
        <v>-0.000000001328752841</v>
      </c>
      <c r="F267" s="408">
        <f t="shared" si="14"/>
        <v>16306617.46</v>
      </c>
      <c r="G267" s="408">
        <f t="shared" si="15"/>
        <v>30373143.87</v>
      </c>
      <c r="H267" s="410">
        <f t="shared" si="16"/>
        <v>0.0275</v>
      </c>
      <c r="I267" s="1">
        <f t="shared" si="1"/>
        <v>256</v>
      </c>
      <c r="J267" s="406">
        <f t="shared" si="17"/>
        <v>51957</v>
      </c>
      <c r="K267" s="105">
        <f t="shared" si="9"/>
        <v>22</v>
      </c>
      <c r="L267" s="411">
        <f t="shared" si="10"/>
        <v>0</v>
      </c>
      <c r="M267" s="407">
        <f t="shared" si="2"/>
        <v>0</v>
      </c>
      <c r="N267" s="407">
        <f t="shared" si="3"/>
        <v>0</v>
      </c>
      <c r="O267" s="407">
        <f t="shared" si="4"/>
        <v>-0.000000001328752841</v>
      </c>
      <c r="P267" s="368" t="str">
        <f>IF(AND(K267&gt;K266,K267-2+1='Pro Forma Detail'!D$66),E264,)</f>
        <v/>
      </c>
      <c r="Q267" s="369" t="str">
        <f t="shared" si="11"/>
        <v/>
      </c>
      <c r="R267" s="370">
        <f t="shared" si="12"/>
        <v>0</v>
      </c>
      <c r="S267" s="370">
        <f t="shared" si="13"/>
        <v>0</v>
      </c>
      <c r="T267" s="1"/>
    </row>
    <row r="268" ht="12.75" customHeight="1">
      <c r="A268" s="1">
        <v>257.0</v>
      </c>
      <c r="B268" s="408">
        <f t="shared" si="5"/>
        <v>0</v>
      </c>
      <c r="C268" s="408">
        <f t="shared" si="6"/>
        <v>0</v>
      </c>
      <c r="D268" s="409">
        <f t="shared" si="7"/>
        <v>0</v>
      </c>
      <c r="E268" s="176">
        <f t="shared" si="8"/>
        <v>-0.000000001317423914</v>
      </c>
      <c r="F268" s="408">
        <f t="shared" si="14"/>
        <v>16306617.46</v>
      </c>
      <c r="G268" s="408">
        <f t="shared" si="15"/>
        <v>30373143.87</v>
      </c>
      <c r="H268" s="410">
        <f t="shared" si="16"/>
        <v>0.0275</v>
      </c>
      <c r="I268" s="1">
        <f t="shared" si="1"/>
        <v>257</v>
      </c>
      <c r="J268" s="406">
        <f t="shared" si="17"/>
        <v>51987</v>
      </c>
      <c r="K268" s="105">
        <f t="shared" si="9"/>
        <v>22</v>
      </c>
      <c r="L268" s="411">
        <f t="shared" si="10"/>
        <v>0</v>
      </c>
      <c r="M268" s="407">
        <f t="shared" si="2"/>
        <v>0</v>
      </c>
      <c r="N268" s="407">
        <f t="shared" si="3"/>
        <v>0</v>
      </c>
      <c r="O268" s="407">
        <f t="shared" si="4"/>
        <v>-0.000000001317423914</v>
      </c>
      <c r="P268" s="368" t="str">
        <f>IF(AND(K268&gt;K267,K268-2+1='Pro Forma Detail'!D$66),E265,)</f>
        <v/>
      </c>
      <c r="Q268" s="369" t="str">
        <f t="shared" si="11"/>
        <v/>
      </c>
      <c r="R268" s="370">
        <f t="shared" si="12"/>
        <v>0</v>
      </c>
      <c r="S268" s="370">
        <f t="shared" si="13"/>
        <v>0</v>
      </c>
      <c r="T268" s="1"/>
    </row>
    <row r="269" ht="12.75" customHeight="1">
      <c r="A269" s="1">
        <v>258.0</v>
      </c>
      <c r="B269" s="408">
        <f t="shared" si="5"/>
        <v>0</v>
      </c>
      <c r="C269" s="408">
        <f t="shared" si="6"/>
        <v>0</v>
      </c>
      <c r="D269" s="409">
        <f t="shared" si="7"/>
        <v>0</v>
      </c>
      <c r="E269" s="176">
        <f t="shared" si="8"/>
        <v>-0.000000001306069025</v>
      </c>
      <c r="F269" s="408">
        <f t="shared" si="14"/>
        <v>16306617.46</v>
      </c>
      <c r="G269" s="408">
        <f t="shared" si="15"/>
        <v>30373143.87</v>
      </c>
      <c r="H269" s="410">
        <f t="shared" si="16"/>
        <v>0.0275</v>
      </c>
      <c r="I269" s="1">
        <f t="shared" si="1"/>
        <v>258</v>
      </c>
      <c r="J269" s="406">
        <f t="shared" si="17"/>
        <v>52018</v>
      </c>
      <c r="K269" s="105">
        <f t="shared" si="9"/>
        <v>22</v>
      </c>
      <c r="L269" s="411">
        <f t="shared" si="10"/>
        <v>0</v>
      </c>
      <c r="M269" s="407">
        <f t="shared" si="2"/>
        <v>0</v>
      </c>
      <c r="N269" s="407">
        <f t="shared" si="3"/>
        <v>0</v>
      </c>
      <c r="O269" s="407">
        <f t="shared" si="4"/>
        <v>-0.000000001306069025</v>
      </c>
      <c r="P269" s="368" t="str">
        <f>IF(AND(K269&gt;K268,K269-2+1='Pro Forma Detail'!D$66),E266,)</f>
        <v/>
      </c>
      <c r="Q269" s="369" t="str">
        <f t="shared" si="11"/>
        <v/>
      </c>
      <c r="R269" s="370">
        <f t="shared" si="12"/>
        <v>0</v>
      </c>
      <c r="S269" s="370">
        <f t="shared" si="13"/>
        <v>0</v>
      </c>
      <c r="T269" s="1"/>
    </row>
    <row r="270" ht="12.75" customHeight="1">
      <c r="A270" s="1">
        <v>259.0</v>
      </c>
      <c r="B270" s="408">
        <f t="shared" si="5"/>
        <v>0</v>
      </c>
      <c r="C270" s="408">
        <f t="shared" si="6"/>
        <v>0</v>
      </c>
      <c r="D270" s="409">
        <f t="shared" si="7"/>
        <v>0</v>
      </c>
      <c r="E270" s="176">
        <f t="shared" si="8"/>
        <v>-0.000000001294688115</v>
      </c>
      <c r="F270" s="408">
        <f t="shared" si="14"/>
        <v>16306617.46</v>
      </c>
      <c r="G270" s="408">
        <f t="shared" si="15"/>
        <v>30373143.87</v>
      </c>
      <c r="H270" s="410">
        <f t="shared" si="16"/>
        <v>0.0275</v>
      </c>
      <c r="I270" s="1">
        <f t="shared" si="1"/>
        <v>259</v>
      </c>
      <c r="J270" s="406">
        <f t="shared" si="17"/>
        <v>52048</v>
      </c>
      <c r="K270" s="105">
        <f t="shared" si="9"/>
        <v>22</v>
      </c>
      <c r="L270" s="411">
        <f t="shared" si="10"/>
        <v>0</v>
      </c>
      <c r="M270" s="407">
        <f t="shared" si="2"/>
        <v>0</v>
      </c>
      <c r="N270" s="407">
        <f t="shared" si="3"/>
        <v>0</v>
      </c>
      <c r="O270" s="407">
        <f t="shared" si="4"/>
        <v>-0.000000001294688115</v>
      </c>
      <c r="P270" s="368" t="str">
        <f>IF(AND(K270&gt;K269,K270-2+1='Pro Forma Detail'!D$66),E267,)</f>
        <v/>
      </c>
      <c r="Q270" s="369" t="str">
        <f t="shared" si="11"/>
        <v/>
      </c>
      <c r="R270" s="370">
        <f t="shared" si="12"/>
        <v>0</v>
      </c>
      <c r="S270" s="370">
        <f t="shared" si="13"/>
        <v>0</v>
      </c>
      <c r="T270" s="1"/>
    </row>
    <row r="271" ht="12.75" customHeight="1">
      <c r="A271" s="1">
        <v>260.0</v>
      </c>
      <c r="B271" s="408">
        <f t="shared" si="5"/>
        <v>0</v>
      </c>
      <c r="C271" s="408">
        <f t="shared" si="6"/>
        <v>0</v>
      </c>
      <c r="D271" s="409">
        <f t="shared" si="7"/>
        <v>0</v>
      </c>
      <c r="E271" s="176">
        <f t="shared" si="8"/>
        <v>-0.000000001283281124</v>
      </c>
      <c r="F271" s="408">
        <f t="shared" si="14"/>
        <v>16306617.46</v>
      </c>
      <c r="G271" s="408">
        <f t="shared" si="15"/>
        <v>30373143.87</v>
      </c>
      <c r="H271" s="410">
        <f t="shared" si="16"/>
        <v>0.0275</v>
      </c>
      <c r="I271" s="1">
        <f t="shared" si="1"/>
        <v>260</v>
      </c>
      <c r="J271" s="406">
        <f t="shared" si="17"/>
        <v>52079</v>
      </c>
      <c r="K271" s="105">
        <f t="shared" si="9"/>
        <v>22</v>
      </c>
      <c r="L271" s="411">
        <f t="shared" si="10"/>
        <v>0</v>
      </c>
      <c r="M271" s="407">
        <f t="shared" si="2"/>
        <v>0</v>
      </c>
      <c r="N271" s="407">
        <f t="shared" si="3"/>
        <v>0</v>
      </c>
      <c r="O271" s="407">
        <f t="shared" si="4"/>
        <v>-0.000000001283281124</v>
      </c>
      <c r="P271" s="368" t="str">
        <f>IF(AND(K271&gt;K270,K271-2+1='Pro Forma Detail'!D$66),E268,)</f>
        <v/>
      </c>
      <c r="Q271" s="369" t="str">
        <f t="shared" si="11"/>
        <v/>
      </c>
      <c r="R271" s="370">
        <f t="shared" si="12"/>
        <v>0</v>
      </c>
      <c r="S271" s="370">
        <f t="shared" si="13"/>
        <v>0</v>
      </c>
      <c r="T271" s="1"/>
    </row>
    <row r="272" ht="12.75" customHeight="1">
      <c r="A272" s="1">
        <v>261.0</v>
      </c>
      <c r="B272" s="408">
        <f t="shared" si="5"/>
        <v>0</v>
      </c>
      <c r="C272" s="408">
        <f t="shared" si="6"/>
        <v>0</v>
      </c>
      <c r="D272" s="409">
        <f t="shared" si="7"/>
        <v>0</v>
      </c>
      <c r="E272" s="176">
        <f t="shared" si="8"/>
        <v>-0.000000001271847991</v>
      </c>
      <c r="F272" s="408">
        <f t="shared" si="14"/>
        <v>16306617.46</v>
      </c>
      <c r="G272" s="408">
        <f t="shared" si="15"/>
        <v>30373143.87</v>
      </c>
      <c r="H272" s="410">
        <f t="shared" si="16"/>
        <v>0.0275</v>
      </c>
      <c r="I272" s="1">
        <f t="shared" si="1"/>
        <v>261</v>
      </c>
      <c r="J272" s="406">
        <f t="shared" si="17"/>
        <v>52110</v>
      </c>
      <c r="K272" s="105">
        <f t="shared" si="9"/>
        <v>22</v>
      </c>
      <c r="L272" s="411">
        <f t="shared" si="10"/>
        <v>0</v>
      </c>
      <c r="M272" s="407">
        <f t="shared" si="2"/>
        <v>0</v>
      </c>
      <c r="N272" s="407">
        <f t="shared" si="3"/>
        <v>0</v>
      </c>
      <c r="O272" s="407">
        <f t="shared" si="4"/>
        <v>-0.000000001271847991</v>
      </c>
      <c r="P272" s="368" t="str">
        <f>IF(AND(K272&gt;K271,K272-2+1='Pro Forma Detail'!D$66),E269,)</f>
        <v/>
      </c>
      <c r="Q272" s="369" t="str">
        <f t="shared" si="11"/>
        <v/>
      </c>
      <c r="R272" s="370">
        <f t="shared" si="12"/>
        <v>0</v>
      </c>
      <c r="S272" s="370">
        <f t="shared" si="13"/>
        <v>0</v>
      </c>
      <c r="T272" s="1"/>
    </row>
    <row r="273" ht="12.75" customHeight="1">
      <c r="A273" s="1">
        <v>262.0</v>
      </c>
      <c r="B273" s="408">
        <f t="shared" si="5"/>
        <v>0</v>
      </c>
      <c r="C273" s="408">
        <f t="shared" si="6"/>
        <v>0</v>
      </c>
      <c r="D273" s="409">
        <f t="shared" si="7"/>
        <v>0</v>
      </c>
      <c r="E273" s="176">
        <f t="shared" si="8"/>
        <v>-0.000000001260388658</v>
      </c>
      <c r="F273" s="408">
        <f t="shared" si="14"/>
        <v>16306617.46</v>
      </c>
      <c r="G273" s="408">
        <f t="shared" si="15"/>
        <v>30373143.87</v>
      </c>
      <c r="H273" s="410">
        <f t="shared" si="16"/>
        <v>0.0275</v>
      </c>
      <c r="I273" s="1">
        <f t="shared" si="1"/>
        <v>262</v>
      </c>
      <c r="J273" s="406">
        <f t="shared" si="17"/>
        <v>52140</v>
      </c>
      <c r="K273" s="105">
        <f t="shared" si="9"/>
        <v>22</v>
      </c>
      <c r="L273" s="411">
        <f t="shared" si="10"/>
        <v>0</v>
      </c>
      <c r="M273" s="407">
        <f t="shared" si="2"/>
        <v>0</v>
      </c>
      <c r="N273" s="407">
        <f t="shared" si="3"/>
        <v>0</v>
      </c>
      <c r="O273" s="407">
        <f t="shared" si="4"/>
        <v>-0.000000001260388658</v>
      </c>
      <c r="P273" s="368" t="str">
        <f>IF(AND(K273&gt;K272,K273-2+1='Pro Forma Detail'!D$66),E270,)</f>
        <v/>
      </c>
      <c r="Q273" s="369" t="str">
        <f t="shared" si="11"/>
        <v/>
      </c>
      <c r="R273" s="370">
        <f t="shared" si="12"/>
        <v>0</v>
      </c>
      <c r="S273" s="370">
        <f t="shared" si="13"/>
        <v>0</v>
      </c>
      <c r="T273" s="1"/>
    </row>
    <row r="274" ht="12.75" customHeight="1">
      <c r="A274" s="1">
        <v>263.0</v>
      </c>
      <c r="B274" s="408">
        <f t="shared" si="5"/>
        <v>0</v>
      </c>
      <c r="C274" s="408">
        <f t="shared" si="6"/>
        <v>0</v>
      </c>
      <c r="D274" s="409">
        <f t="shared" si="7"/>
        <v>0</v>
      </c>
      <c r="E274" s="176">
        <f t="shared" si="8"/>
        <v>-0.000000001248903063</v>
      </c>
      <c r="F274" s="408">
        <f t="shared" si="14"/>
        <v>16306617.46</v>
      </c>
      <c r="G274" s="408">
        <f t="shared" si="15"/>
        <v>30373143.87</v>
      </c>
      <c r="H274" s="410">
        <f t="shared" si="16"/>
        <v>0.0275</v>
      </c>
      <c r="I274" s="1">
        <f t="shared" si="1"/>
        <v>263</v>
      </c>
      <c r="J274" s="406">
        <f t="shared" si="17"/>
        <v>52171</v>
      </c>
      <c r="K274" s="105">
        <f t="shared" si="9"/>
        <v>22</v>
      </c>
      <c r="L274" s="411">
        <f t="shared" si="10"/>
        <v>0</v>
      </c>
      <c r="M274" s="407">
        <f t="shared" si="2"/>
        <v>0</v>
      </c>
      <c r="N274" s="407">
        <f t="shared" si="3"/>
        <v>0</v>
      </c>
      <c r="O274" s="407">
        <f t="shared" si="4"/>
        <v>-0.000000001248903063</v>
      </c>
      <c r="P274" s="368" t="str">
        <f>IF(AND(K274&gt;K273,K274-2+1='Pro Forma Detail'!D$66),E271,)</f>
        <v/>
      </c>
      <c r="Q274" s="369" t="str">
        <f t="shared" si="11"/>
        <v/>
      </c>
      <c r="R274" s="370">
        <f t="shared" si="12"/>
        <v>0</v>
      </c>
      <c r="S274" s="370">
        <f t="shared" si="13"/>
        <v>0</v>
      </c>
      <c r="T274" s="1"/>
    </row>
    <row r="275" ht="12.75" customHeight="1">
      <c r="A275" s="1">
        <v>264.0</v>
      </c>
      <c r="B275" s="408">
        <f t="shared" si="5"/>
        <v>0</v>
      </c>
      <c r="C275" s="408">
        <f t="shared" si="6"/>
        <v>0</v>
      </c>
      <c r="D275" s="409">
        <f t="shared" si="7"/>
        <v>0</v>
      </c>
      <c r="E275" s="176">
        <f t="shared" si="8"/>
        <v>-0.000000001237391148</v>
      </c>
      <c r="F275" s="408">
        <f t="shared" si="14"/>
        <v>16306617.46</v>
      </c>
      <c r="G275" s="408">
        <f t="shared" si="15"/>
        <v>30373143.87</v>
      </c>
      <c r="H275" s="410">
        <f t="shared" si="16"/>
        <v>0.0275</v>
      </c>
      <c r="I275" s="1">
        <f t="shared" si="1"/>
        <v>264</v>
      </c>
      <c r="J275" s="406">
        <f t="shared" si="17"/>
        <v>52201</v>
      </c>
      <c r="K275" s="105">
        <f t="shared" si="9"/>
        <v>22</v>
      </c>
      <c r="L275" s="411">
        <f t="shared" si="10"/>
        <v>0</v>
      </c>
      <c r="M275" s="407">
        <f t="shared" si="2"/>
        <v>0</v>
      </c>
      <c r="N275" s="407">
        <f t="shared" si="3"/>
        <v>0</v>
      </c>
      <c r="O275" s="407">
        <f t="shared" si="4"/>
        <v>-0.000000001237391148</v>
      </c>
      <c r="P275" s="368" t="str">
        <f>IF(AND(K275&gt;K274,K275-2+1='Pro Forma Detail'!D$66),E272,)</f>
        <v/>
      </c>
      <c r="Q275" s="369" t="str">
        <f t="shared" si="11"/>
        <v/>
      </c>
      <c r="R275" s="370">
        <f t="shared" si="12"/>
        <v>0</v>
      </c>
      <c r="S275" s="370">
        <f t="shared" si="13"/>
        <v>0</v>
      </c>
      <c r="T275" s="1"/>
    </row>
    <row r="276" ht="12.75" customHeight="1">
      <c r="A276" s="1">
        <v>265.0</v>
      </c>
      <c r="B276" s="408">
        <f t="shared" si="5"/>
        <v>0</v>
      </c>
      <c r="C276" s="408">
        <f t="shared" si="6"/>
        <v>0</v>
      </c>
      <c r="D276" s="409">
        <f t="shared" si="7"/>
        <v>0</v>
      </c>
      <c r="E276" s="176">
        <f t="shared" si="8"/>
        <v>-0.000000001225852851</v>
      </c>
      <c r="F276" s="408">
        <f t="shared" si="14"/>
        <v>16306617.46</v>
      </c>
      <c r="G276" s="408">
        <f t="shared" si="15"/>
        <v>30373143.87</v>
      </c>
      <c r="H276" s="410">
        <f t="shared" si="16"/>
        <v>0.0275</v>
      </c>
      <c r="I276" s="1">
        <f t="shared" si="1"/>
        <v>265</v>
      </c>
      <c r="J276" s="406">
        <f t="shared" si="17"/>
        <v>52232</v>
      </c>
      <c r="K276" s="105">
        <f t="shared" si="9"/>
        <v>23</v>
      </c>
      <c r="L276" s="411">
        <f t="shared" si="10"/>
        <v>0</v>
      </c>
      <c r="M276" s="407">
        <f t="shared" si="2"/>
        <v>0</v>
      </c>
      <c r="N276" s="407">
        <f t="shared" si="3"/>
        <v>0</v>
      </c>
      <c r="O276" s="407">
        <f t="shared" si="4"/>
        <v>-0.000000001225852851</v>
      </c>
      <c r="P276" s="368" t="str">
        <f>IF(AND(K276&gt;K275,K276-2+1='Pro Forma Detail'!D$66),E273,)</f>
        <v/>
      </c>
      <c r="Q276" s="369" t="str">
        <f t="shared" si="11"/>
        <v/>
      </c>
      <c r="R276" s="370">
        <f t="shared" si="12"/>
        <v>0</v>
      </c>
      <c r="S276" s="370">
        <f t="shared" si="13"/>
        <v>0</v>
      </c>
      <c r="T276" s="1"/>
    </row>
    <row r="277" ht="12.75" customHeight="1">
      <c r="A277" s="1">
        <v>266.0</v>
      </c>
      <c r="B277" s="408">
        <f t="shared" si="5"/>
        <v>0</v>
      </c>
      <c r="C277" s="408">
        <f t="shared" si="6"/>
        <v>0</v>
      </c>
      <c r="D277" s="409">
        <f t="shared" si="7"/>
        <v>0</v>
      </c>
      <c r="E277" s="176">
        <f t="shared" si="8"/>
        <v>-0.000000001214288112</v>
      </c>
      <c r="F277" s="408">
        <f t="shared" si="14"/>
        <v>16306617.46</v>
      </c>
      <c r="G277" s="408">
        <f t="shared" si="15"/>
        <v>30373143.87</v>
      </c>
      <c r="H277" s="410">
        <f t="shared" si="16"/>
        <v>0.0275</v>
      </c>
      <c r="I277" s="1">
        <f t="shared" si="1"/>
        <v>266</v>
      </c>
      <c r="J277" s="406">
        <f t="shared" si="17"/>
        <v>52263</v>
      </c>
      <c r="K277" s="105">
        <f t="shared" si="9"/>
        <v>23</v>
      </c>
      <c r="L277" s="411">
        <f t="shared" si="10"/>
        <v>0</v>
      </c>
      <c r="M277" s="407">
        <f t="shared" si="2"/>
        <v>0</v>
      </c>
      <c r="N277" s="407">
        <f t="shared" si="3"/>
        <v>0</v>
      </c>
      <c r="O277" s="407">
        <f t="shared" si="4"/>
        <v>-0.000000001214288112</v>
      </c>
      <c r="P277" s="368" t="str">
        <f>IF(AND(K277&gt;K276,K277-2+1='Pro Forma Detail'!D$66),E274,)</f>
        <v/>
      </c>
      <c r="Q277" s="369" t="str">
        <f t="shared" si="11"/>
        <v/>
      </c>
      <c r="R277" s="370">
        <f t="shared" si="12"/>
        <v>0</v>
      </c>
      <c r="S277" s="370">
        <f t="shared" si="13"/>
        <v>0</v>
      </c>
      <c r="T277" s="1"/>
    </row>
    <row r="278" ht="12.75" customHeight="1">
      <c r="A278" s="1">
        <v>267.0</v>
      </c>
      <c r="B278" s="408">
        <f t="shared" si="5"/>
        <v>0</v>
      </c>
      <c r="C278" s="408">
        <f t="shared" si="6"/>
        <v>0</v>
      </c>
      <c r="D278" s="409">
        <f t="shared" si="7"/>
        <v>0</v>
      </c>
      <c r="E278" s="176">
        <f t="shared" si="8"/>
        <v>-0.00000000120269687</v>
      </c>
      <c r="F278" s="408">
        <f t="shared" si="14"/>
        <v>16306617.46</v>
      </c>
      <c r="G278" s="408">
        <f t="shared" si="15"/>
        <v>30373143.87</v>
      </c>
      <c r="H278" s="410">
        <f t="shared" si="16"/>
        <v>0.0275</v>
      </c>
      <c r="I278" s="1">
        <f t="shared" si="1"/>
        <v>267</v>
      </c>
      <c r="J278" s="406">
        <f t="shared" si="17"/>
        <v>52291</v>
      </c>
      <c r="K278" s="105">
        <f t="shared" si="9"/>
        <v>23</v>
      </c>
      <c r="L278" s="411">
        <f t="shared" si="10"/>
        <v>0</v>
      </c>
      <c r="M278" s="407">
        <f t="shared" si="2"/>
        <v>0</v>
      </c>
      <c r="N278" s="407">
        <f t="shared" si="3"/>
        <v>0</v>
      </c>
      <c r="O278" s="407">
        <f t="shared" si="4"/>
        <v>-0.00000000120269687</v>
      </c>
      <c r="P278" s="368" t="str">
        <f>IF(AND(K278&gt;K277,K278-2+1='Pro Forma Detail'!D$66),E275,)</f>
        <v/>
      </c>
      <c r="Q278" s="369" t="str">
        <f t="shared" si="11"/>
        <v/>
      </c>
      <c r="R278" s="370">
        <f t="shared" si="12"/>
        <v>0</v>
      </c>
      <c r="S278" s="370">
        <f t="shared" si="13"/>
        <v>0</v>
      </c>
      <c r="T278" s="1"/>
    </row>
    <row r="279" ht="12.75" customHeight="1">
      <c r="A279" s="1">
        <v>268.0</v>
      </c>
      <c r="B279" s="408">
        <f t="shared" si="5"/>
        <v>0</v>
      </c>
      <c r="C279" s="408">
        <f t="shared" si="6"/>
        <v>0</v>
      </c>
      <c r="D279" s="409">
        <f t="shared" si="7"/>
        <v>0</v>
      </c>
      <c r="E279" s="176">
        <f t="shared" si="8"/>
        <v>-0.000000001191079065</v>
      </c>
      <c r="F279" s="408">
        <f t="shared" si="14"/>
        <v>16306617.46</v>
      </c>
      <c r="G279" s="408">
        <f t="shared" si="15"/>
        <v>30373143.87</v>
      </c>
      <c r="H279" s="410">
        <f t="shared" si="16"/>
        <v>0.0275</v>
      </c>
      <c r="I279" s="1">
        <f t="shared" si="1"/>
        <v>268</v>
      </c>
      <c r="J279" s="406">
        <f t="shared" si="17"/>
        <v>52322</v>
      </c>
      <c r="K279" s="105">
        <f t="shared" si="9"/>
        <v>23</v>
      </c>
      <c r="L279" s="411">
        <f t="shared" si="10"/>
        <v>0</v>
      </c>
      <c r="M279" s="407">
        <f t="shared" si="2"/>
        <v>0</v>
      </c>
      <c r="N279" s="407">
        <f t="shared" si="3"/>
        <v>0</v>
      </c>
      <c r="O279" s="407">
        <f t="shared" si="4"/>
        <v>-0.000000001191079065</v>
      </c>
      <c r="P279" s="368" t="str">
        <f>IF(AND(K279&gt;K278,K279-2+1='Pro Forma Detail'!D$66),E276,)</f>
        <v/>
      </c>
      <c r="Q279" s="369" t="str">
        <f t="shared" si="11"/>
        <v/>
      </c>
      <c r="R279" s="370">
        <f t="shared" si="12"/>
        <v>0</v>
      </c>
      <c r="S279" s="370">
        <f t="shared" si="13"/>
        <v>0</v>
      </c>
      <c r="T279" s="1"/>
    </row>
    <row r="280" ht="12.75" customHeight="1">
      <c r="A280" s="1">
        <v>269.0</v>
      </c>
      <c r="B280" s="408">
        <f t="shared" si="5"/>
        <v>0</v>
      </c>
      <c r="C280" s="408">
        <f t="shared" si="6"/>
        <v>0</v>
      </c>
      <c r="D280" s="409">
        <f t="shared" si="7"/>
        <v>0</v>
      </c>
      <c r="E280" s="176">
        <f t="shared" si="8"/>
        <v>-0.000000001179434636</v>
      </c>
      <c r="F280" s="408">
        <f t="shared" si="14"/>
        <v>16306617.46</v>
      </c>
      <c r="G280" s="408">
        <f t="shared" si="15"/>
        <v>30373143.87</v>
      </c>
      <c r="H280" s="410">
        <f t="shared" si="16"/>
        <v>0.0275</v>
      </c>
      <c r="I280" s="1">
        <f t="shared" si="1"/>
        <v>269</v>
      </c>
      <c r="J280" s="406">
        <f t="shared" si="17"/>
        <v>52352</v>
      </c>
      <c r="K280" s="105">
        <f t="shared" si="9"/>
        <v>23</v>
      </c>
      <c r="L280" s="411">
        <f t="shared" si="10"/>
        <v>0</v>
      </c>
      <c r="M280" s="407">
        <f t="shared" si="2"/>
        <v>0</v>
      </c>
      <c r="N280" s="407">
        <f t="shared" si="3"/>
        <v>0</v>
      </c>
      <c r="O280" s="407">
        <f t="shared" si="4"/>
        <v>-0.000000001179434636</v>
      </c>
      <c r="P280" s="368" t="str">
        <f>IF(AND(K280&gt;K279,K280-2+1='Pro Forma Detail'!D$66),E277,)</f>
        <v/>
      </c>
      <c r="Q280" s="369" t="str">
        <f t="shared" si="11"/>
        <v/>
      </c>
      <c r="R280" s="370">
        <f t="shared" si="12"/>
        <v>0</v>
      </c>
      <c r="S280" s="370">
        <f t="shared" si="13"/>
        <v>0</v>
      </c>
      <c r="T280" s="1"/>
    </row>
    <row r="281" ht="12.75" customHeight="1">
      <c r="A281" s="1">
        <v>270.0</v>
      </c>
      <c r="B281" s="408">
        <f t="shared" si="5"/>
        <v>0</v>
      </c>
      <c r="C281" s="408">
        <f t="shared" si="6"/>
        <v>0</v>
      </c>
      <c r="D281" s="409">
        <f t="shared" si="7"/>
        <v>0</v>
      </c>
      <c r="E281" s="176">
        <f t="shared" si="8"/>
        <v>-0.000000001167763522</v>
      </c>
      <c r="F281" s="408">
        <f t="shared" si="14"/>
        <v>16306617.46</v>
      </c>
      <c r="G281" s="408">
        <f t="shared" si="15"/>
        <v>30373143.87</v>
      </c>
      <c r="H281" s="410">
        <f t="shared" si="16"/>
        <v>0.0275</v>
      </c>
      <c r="I281" s="1">
        <f t="shared" si="1"/>
        <v>270</v>
      </c>
      <c r="J281" s="406">
        <f t="shared" si="17"/>
        <v>52383</v>
      </c>
      <c r="K281" s="105">
        <f t="shared" si="9"/>
        <v>23</v>
      </c>
      <c r="L281" s="411">
        <f t="shared" si="10"/>
        <v>0</v>
      </c>
      <c r="M281" s="407">
        <f t="shared" si="2"/>
        <v>0</v>
      </c>
      <c r="N281" s="407">
        <f t="shared" si="3"/>
        <v>0</v>
      </c>
      <c r="O281" s="407">
        <f t="shared" si="4"/>
        <v>-0.000000001167763522</v>
      </c>
      <c r="P281" s="368" t="str">
        <f>IF(AND(K281&gt;K280,K281-2+1='Pro Forma Detail'!D$66),E278,)</f>
        <v/>
      </c>
      <c r="Q281" s="369" t="str">
        <f t="shared" si="11"/>
        <v/>
      </c>
      <c r="R281" s="370">
        <f t="shared" si="12"/>
        <v>0</v>
      </c>
      <c r="S281" s="370">
        <f t="shared" si="13"/>
        <v>0</v>
      </c>
      <c r="T281" s="1"/>
    </row>
    <row r="282" ht="12.75" customHeight="1">
      <c r="A282" s="1">
        <v>271.0</v>
      </c>
      <c r="B282" s="408">
        <f t="shared" si="5"/>
        <v>0</v>
      </c>
      <c r="C282" s="408">
        <f t="shared" si="6"/>
        <v>0</v>
      </c>
      <c r="D282" s="409">
        <f t="shared" si="7"/>
        <v>0</v>
      </c>
      <c r="E282" s="176">
        <f t="shared" si="8"/>
        <v>-0.000000001156065662</v>
      </c>
      <c r="F282" s="408">
        <f t="shared" si="14"/>
        <v>16306617.46</v>
      </c>
      <c r="G282" s="408">
        <f t="shared" si="15"/>
        <v>30373143.87</v>
      </c>
      <c r="H282" s="410">
        <f t="shared" si="16"/>
        <v>0.0275</v>
      </c>
      <c r="I282" s="1">
        <f t="shared" si="1"/>
        <v>271</v>
      </c>
      <c r="J282" s="406">
        <f t="shared" si="17"/>
        <v>52413</v>
      </c>
      <c r="K282" s="105">
        <f t="shared" si="9"/>
        <v>23</v>
      </c>
      <c r="L282" s="411">
        <f t="shared" si="10"/>
        <v>0</v>
      </c>
      <c r="M282" s="407">
        <f t="shared" si="2"/>
        <v>0</v>
      </c>
      <c r="N282" s="407">
        <f t="shared" si="3"/>
        <v>0</v>
      </c>
      <c r="O282" s="407">
        <f t="shared" si="4"/>
        <v>-0.000000001156065662</v>
      </c>
      <c r="P282" s="368" t="str">
        <f>IF(AND(K282&gt;K281,K282-2+1='Pro Forma Detail'!D$66),E279,)</f>
        <v/>
      </c>
      <c r="Q282" s="369" t="str">
        <f t="shared" si="11"/>
        <v/>
      </c>
      <c r="R282" s="370">
        <f t="shared" si="12"/>
        <v>0</v>
      </c>
      <c r="S282" s="370">
        <f t="shared" si="13"/>
        <v>0</v>
      </c>
      <c r="T282" s="1"/>
    </row>
    <row r="283" ht="12.75" customHeight="1">
      <c r="A283" s="1">
        <v>272.0</v>
      </c>
      <c r="B283" s="408">
        <f t="shared" si="5"/>
        <v>0</v>
      </c>
      <c r="C283" s="408">
        <f t="shared" si="6"/>
        <v>0</v>
      </c>
      <c r="D283" s="409">
        <f t="shared" si="7"/>
        <v>0</v>
      </c>
      <c r="E283" s="176">
        <f t="shared" si="8"/>
        <v>-0.000000001144340994</v>
      </c>
      <c r="F283" s="408">
        <f t="shared" si="14"/>
        <v>16306617.46</v>
      </c>
      <c r="G283" s="408">
        <f t="shared" si="15"/>
        <v>30373143.87</v>
      </c>
      <c r="H283" s="410">
        <f t="shared" si="16"/>
        <v>0.0275</v>
      </c>
      <c r="I283" s="1">
        <f t="shared" si="1"/>
        <v>272</v>
      </c>
      <c r="J283" s="406">
        <f t="shared" si="17"/>
        <v>52444</v>
      </c>
      <c r="K283" s="105">
        <f t="shared" si="9"/>
        <v>23</v>
      </c>
      <c r="L283" s="411">
        <f t="shared" si="10"/>
        <v>0</v>
      </c>
      <c r="M283" s="407">
        <f t="shared" si="2"/>
        <v>0</v>
      </c>
      <c r="N283" s="407">
        <f t="shared" si="3"/>
        <v>0</v>
      </c>
      <c r="O283" s="407">
        <f t="shared" si="4"/>
        <v>-0.000000001144340994</v>
      </c>
      <c r="P283" s="368" t="str">
        <f>IF(AND(K283&gt;K282,K283-2+1='Pro Forma Detail'!D$66),E280,)</f>
        <v/>
      </c>
      <c r="Q283" s="369" t="str">
        <f t="shared" si="11"/>
        <v/>
      </c>
      <c r="R283" s="370">
        <f t="shared" si="12"/>
        <v>0</v>
      </c>
      <c r="S283" s="370">
        <f t="shared" si="13"/>
        <v>0</v>
      </c>
      <c r="T283" s="1"/>
    </row>
    <row r="284" ht="12.75" customHeight="1">
      <c r="A284" s="1">
        <v>273.0</v>
      </c>
      <c r="B284" s="408">
        <f t="shared" si="5"/>
        <v>0</v>
      </c>
      <c r="C284" s="408">
        <f t="shared" si="6"/>
        <v>0</v>
      </c>
      <c r="D284" s="409">
        <f t="shared" si="7"/>
        <v>0</v>
      </c>
      <c r="E284" s="176">
        <f t="shared" si="8"/>
        <v>-0.000000001132589457</v>
      </c>
      <c r="F284" s="408">
        <f t="shared" si="14"/>
        <v>16306617.46</v>
      </c>
      <c r="G284" s="408">
        <f t="shared" si="15"/>
        <v>30373143.87</v>
      </c>
      <c r="H284" s="410">
        <f t="shared" si="16"/>
        <v>0.0275</v>
      </c>
      <c r="I284" s="1">
        <f t="shared" si="1"/>
        <v>273</v>
      </c>
      <c r="J284" s="406">
        <f t="shared" si="17"/>
        <v>52475</v>
      </c>
      <c r="K284" s="105">
        <f t="shared" si="9"/>
        <v>23</v>
      </c>
      <c r="L284" s="411">
        <f t="shared" si="10"/>
        <v>0</v>
      </c>
      <c r="M284" s="407">
        <f t="shared" si="2"/>
        <v>0</v>
      </c>
      <c r="N284" s="407">
        <f t="shared" si="3"/>
        <v>0</v>
      </c>
      <c r="O284" s="407">
        <f t="shared" si="4"/>
        <v>-0.000000001132589457</v>
      </c>
      <c r="P284" s="368" t="str">
        <f>IF(AND(K284&gt;K283,K284-2+1='Pro Forma Detail'!D$66),E281,)</f>
        <v/>
      </c>
      <c r="Q284" s="369" t="str">
        <f t="shared" si="11"/>
        <v/>
      </c>
      <c r="R284" s="370">
        <f t="shared" si="12"/>
        <v>0</v>
      </c>
      <c r="S284" s="370">
        <f t="shared" si="13"/>
        <v>0</v>
      </c>
      <c r="T284" s="1"/>
    </row>
    <row r="285" ht="12.75" customHeight="1">
      <c r="A285" s="1">
        <v>274.0</v>
      </c>
      <c r="B285" s="408">
        <f t="shared" si="5"/>
        <v>0</v>
      </c>
      <c r="C285" s="408">
        <f t="shared" si="6"/>
        <v>0</v>
      </c>
      <c r="D285" s="409">
        <f t="shared" si="7"/>
        <v>0</v>
      </c>
      <c r="E285" s="176">
        <f t="shared" si="8"/>
        <v>-0.000000001120810989</v>
      </c>
      <c r="F285" s="408">
        <f t="shared" si="14"/>
        <v>16306617.46</v>
      </c>
      <c r="G285" s="408">
        <f t="shared" si="15"/>
        <v>30373143.87</v>
      </c>
      <c r="H285" s="410">
        <f t="shared" si="16"/>
        <v>0.0275</v>
      </c>
      <c r="I285" s="1">
        <f t="shared" si="1"/>
        <v>274</v>
      </c>
      <c r="J285" s="406">
        <f t="shared" si="17"/>
        <v>52505</v>
      </c>
      <c r="K285" s="105">
        <f t="shared" si="9"/>
        <v>23</v>
      </c>
      <c r="L285" s="411">
        <f t="shared" si="10"/>
        <v>0</v>
      </c>
      <c r="M285" s="407">
        <f t="shared" si="2"/>
        <v>0</v>
      </c>
      <c r="N285" s="407">
        <f t="shared" si="3"/>
        <v>0</v>
      </c>
      <c r="O285" s="407">
        <f t="shared" si="4"/>
        <v>-0.000000001120810989</v>
      </c>
      <c r="P285" s="368" t="str">
        <f>IF(AND(K285&gt;K284,K285-2+1='Pro Forma Detail'!D$66),E282,)</f>
        <v/>
      </c>
      <c r="Q285" s="369" t="str">
        <f t="shared" si="11"/>
        <v/>
      </c>
      <c r="R285" s="370">
        <f t="shared" si="12"/>
        <v>0</v>
      </c>
      <c r="S285" s="370">
        <f t="shared" si="13"/>
        <v>0</v>
      </c>
      <c r="T285" s="1"/>
    </row>
    <row r="286" ht="12.75" customHeight="1">
      <c r="A286" s="1">
        <v>275.0</v>
      </c>
      <c r="B286" s="408">
        <f t="shared" si="5"/>
        <v>0</v>
      </c>
      <c r="C286" s="408">
        <f t="shared" si="6"/>
        <v>0</v>
      </c>
      <c r="D286" s="409">
        <f t="shared" si="7"/>
        <v>0</v>
      </c>
      <c r="E286" s="176">
        <f t="shared" si="8"/>
        <v>-0.000000001109005529</v>
      </c>
      <c r="F286" s="408">
        <f t="shared" si="14"/>
        <v>16306617.46</v>
      </c>
      <c r="G286" s="408">
        <f t="shared" si="15"/>
        <v>30373143.87</v>
      </c>
      <c r="H286" s="410">
        <f t="shared" si="16"/>
        <v>0.0275</v>
      </c>
      <c r="I286" s="1">
        <f t="shared" si="1"/>
        <v>275</v>
      </c>
      <c r="J286" s="406">
        <f t="shared" si="17"/>
        <v>52536</v>
      </c>
      <c r="K286" s="105">
        <f t="shared" si="9"/>
        <v>23</v>
      </c>
      <c r="L286" s="411">
        <f t="shared" si="10"/>
        <v>0</v>
      </c>
      <c r="M286" s="407">
        <f t="shared" si="2"/>
        <v>0</v>
      </c>
      <c r="N286" s="407">
        <f t="shared" si="3"/>
        <v>0</v>
      </c>
      <c r="O286" s="407">
        <f t="shared" si="4"/>
        <v>-0.000000001109005529</v>
      </c>
      <c r="P286" s="368" t="str">
        <f>IF(AND(K286&gt;K285,K286-2+1='Pro Forma Detail'!D$66),E283,)</f>
        <v/>
      </c>
      <c r="Q286" s="369" t="str">
        <f t="shared" si="11"/>
        <v/>
      </c>
      <c r="R286" s="370">
        <f t="shared" si="12"/>
        <v>0</v>
      </c>
      <c r="S286" s="370">
        <f t="shared" si="13"/>
        <v>0</v>
      </c>
      <c r="T286" s="1"/>
    </row>
    <row r="287" ht="12.75" customHeight="1">
      <c r="A287" s="1">
        <v>276.0</v>
      </c>
      <c r="B287" s="408">
        <f t="shared" si="5"/>
        <v>0</v>
      </c>
      <c r="C287" s="408">
        <f t="shared" si="6"/>
        <v>0</v>
      </c>
      <c r="D287" s="409">
        <f t="shared" si="7"/>
        <v>0</v>
      </c>
      <c r="E287" s="176">
        <f t="shared" si="8"/>
        <v>-0.000000001097173015</v>
      </c>
      <c r="F287" s="408">
        <f t="shared" si="14"/>
        <v>16306617.46</v>
      </c>
      <c r="G287" s="408">
        <f t="shared" si="15"/>
        <v>30373143.87</v>
      </c>
      <c r="H287" s="410">
        <f t="shared" si="16"/>
        <v>0.0275</v>
      </c>
      <c r="I287" s="1">
        <f t="shared" si="1"/>
        <v>276</v>
      </c>
      <c r="J287" s="406">
        <f t="shared" si="17"/>
        <v>52566</v>
      </c>
      <c r="K287" s="105">
        <f t="shared" si="9"/>
        <v>23</v>
      </c>
      <c r="L287" s="411">
        <f t="shared" si="10"/>
        <v>0</v>
      </c>
      <c r="M287" s="407">
        <f t="shared" si="2"/>
        <v>0</v>
      </c>
      <c r="N287" s="407">
        <f t="shared" si="3"/>
        <v>0</v>
      </c>
      <c r="O287" s="407">
        <f t="shared" si="4"/>
        <v>-0.000000001097173015</v>
      </c>
      <c r="P287" s="368" t="str">
        <f>IF(AND(K287&gt;K286,K287-2+1='Pro Forma Detail'!D$66),E284,)</f>
        <v/>
      </c>
      <c r="Q287" s="369" t="str">
        <f t="shared" si="11"/>
        <v/>
      </c>
      <c r="R287" s="370">
        <f t="shared" si="12"/>
        <v>0</v>
      </c>
      <c r="S287" s="370">
        <f t="shared" si="13"/>
        <v>0</v>
      </c>
      <c r="T287" s="1"/>
    </row>
    <row r="288" ht="12.75" customHeight="1">
      <c r="A288" s="1">
        <v>277.0</v>
      </c>
      <c r="B288" s="408">
        <f t="shared" si="5"/>
        <v>0</v>
      </c>
      <c r="C288" s="408">
        <f t="shared" si="6"/>
        <v>0</v>
      </c>
      <c r="D288" s="409">
        <f t="shared" si="7"/>
        <v>0</v>
      </c>
      <c r="E288" s="176">
        <f t="shared" si="8"/>
        <v>-0.000000001085313385</v>
      </c>
      <c r="F288" s="408">
        <f t="shared" si="14"/>
        <v>16306617.46</v>
      </c>
      <c r="G288" s="408">
        <f t="shared" si="15"/>
        <v>30373143.87</v>
      </c>
      <c r="H288" s="410">
        <f t="shared" si="16"/>
        <v>0.0275</v>
      </c>
      <c r="I288" s="1">
        <f t="shared" si="1"/>
        <v>277</v>
      </c>
      <c r="J288" s="406">
        <f t="shared" si="17"/>
        <v>52597</v>
      </c>
      <c r="K288" s="105">
        <f t="shared" si="9"/>
        <v>24</v>
      </c>
      <c r="L288" s="411">
        <f t="shared" si="10"/>
        <v>0</v>
      </c>
      <c r="M288" s="407">
        <f t="shared" si="2"/>
        <v>0</v>
      </c>
      <c r="N288" s="407">
        <f t="shared" si="3"/>
        <v>0</v>
      </c>
      <c r="O288" s="407">
        <f t="shared" si="4"/>
        <v>-0.000000001085313385</v>
      </c>
      <c r="P288" s="368" t="str">
        <f>IF(AND(K288&gt;K287,K288-2+1='Pro Forma Detail'!D$66),E285,)</f>
        <v/>
      </c>
      <c r="Q288" s="369" t="str">
        <f t="shared" si="11"/>
        <v/>
      </c>
      <c r="R288" s="370">
        <f t="shared" si="12"/>
        <v>0</v>
      </c>
      <c r="S288" s="370">
        <f t="shared" si="13"/>
        <v>0</v>
      </c>
      <c r="T288" s="1"/>
    </row>
    <row r="289" ht="12.75" customHeight="1">
      <c r="A289" s="1">
        <v>278.0</v>
      </c>
      <c r="B289" s="408">
        <f t="shared" si="5"/>
        <v>0</v>
      </c>
      <c r="C289" s="408">
        <f t="shared" si="6"/>
        <v>0</v>
      </c>
      <c r="D289" s="409">
        <f t="shared" si="7"/>
        <v>0</v>
      </c>
      <c r="E289" s="176">
        <f t="shared" si="8"/>
        <v>-0.000000001073426576</v>
      </c>
      <c r="F289" s="408">
        <f t="shared" si="14"/>
        <v>16306617.46</v>
      </c>
      <c r="G289" s="408">
        <f t="shared" si="15"/>
        <v>30373143.87</v>
      </c>
      <c r="H289" s="410">
        <f t="shared" si="16"/>
        <v>0.0275</v>
      </c>
      <c r="I289" s="1">
        <f t="shared" si="1"/>
        <v>278</v>
      </c>
      <c r="J289" s="406">
        <f t="shared" si="17"/>
        <v>52628</v>
      </c>
      <c r="K289" s="105">
        <f t="shared" si="9"/>
        <v>24</v>
      </c>
      <c r="L289" s="411">
        <f t="shared" si="10"/>
        <v>0</v>
      </c>
      <c r="M289" s="407">
        <f t="shared" si="2"/>
        <v>0</v>
      </c>
      <c r="N289" s="407">
        <f t="shared" si="3"/>
        <v>0</v>
      </c>
      <c r="O289" s="407">
        <f t="shared" si="4"/>
        <v>-0.000000001073426576</v>
      </c>
      <c r="P289" s="368" t="str">
        <f>IF(AND(K289&gt;K288,K289-2+1='Pro Forma Detail'!D$66),E286,)</f>
        <v/>
      </c>
      <c r="Q289" s="369" t="str">
        <f t="shared" si="11"/>
        <v/>
      </c>
      <c r="R289" s="370">
        <f t="shared" si="12"/>
        <v>0</v>
      </c>
      <c r="S289" s="370">
        <f t="shared" si="13"/>
        <v>0</v>
      </c>
      <c r="T289" s="1"/>
    </row>
    <row r="290" ht="12.75" customHeight="1">
      <c r="A290" s="1">
        <v>279.0</v>
      </c>
      <c r="B290" s="408">
        <f t="shared" si="5"/>
        <v>0</v>
      </c>
      <c r="C290" s="408">
        <f t="shared" si="6"/>
        <v>0</v>
      </c>
      <c r="D290" s="409">
        <f t="shared" si="7"/>
        <v>0</v>
      </c>
      <c r="E290" s="176">
        <f t="shared" si="8"/>
        <v>-0.000000001061512527</v>
      </c>
      <c r="F290" s="408">
        <f t="shared" si="14"/>
        <v>16306617.46</v>
      </c>
      <c r="G290" s="408">
        <f t="shared" si="15"/>
        <v>30373143.87</v>
      </c>
      <c r="H290" s="410">
        <f t="shared" si="16"/>
        <v>0.0275</v>
      </c>
      <c r="I290" s="1">
        <f t="shared" si="1"/>
        <v>279</v>
      </c>
      <c r="J290" s="406">
        <f t="shared" si="17"/>
        <v>52657</v>
      </c>
      <c r="K290" s="105">
        <f t="shared" si="9"/>
        <v>24</v>
      </c>
      <c r="L290" s="411">
        <f t="shared" si="10"/>
        <v>0</v>
      </c>
      <c r="M290" s="407">
        <f t="shared" si="2"/>
        <v>0</v>
      </c>
      <c r="N290" s="407">
        <f t="shared" si="3"/>
        <v>0</v>
      </c>
      <c r="O290" s="407">
        <f t="shared" si="4"/>
        <v>-0.000000001061512527</v>
      </c>
      <c r="P290" s="368" t="str">
        <f>IF(AND(K290&gt;K289,K290-2+1='Pro Forma Detail'!D$66),E287,)</f>
        <v/>
      </c>
      <c r="Q290" s="369" t="str">
        <f t="shared" si="11"/>
        <v/>
      </c>
      <c r="R290" s="370">
        <f t="shared" si="12"/>
        <v>0</v>
      </c>
      <c r="S290" s="370">
        <f t="shared" si="13"/>
        <v>0</v>
      </c>
      <c r="T290" s="1"/>
    </row>
    <row r="291" ht="12.75" customHeight="1">
      <c r="A291" s="1">
        <v>280.0</v>
      </c>
      <c r="B291" s="408">
        <f t="shared" si="5"/>
        <v>0</v>
      </c>
      <c r="C291" s="408">
        <f t="shared" si="6"/>
        <v>0</v>
      </c>
      <c r="D291" s="409">
        <f t="shared" si="7"/>
        <v>0</v>
      </c>
      <c r="E291" s="176">
        <f t="shared" si="8"/>
        <v>-0.000000001049571175</v>
      </c>
      <c r="F291" s="408">
        <f t="shared" si="14"/>
        <v>16306617.46</v>
      </c>
      <c r="G291" s="408">
        <f t="shared" si="15"/>
        <v>30373143.87</v>
      </c>
      <c r="H291" s="410">
        <f t="shared" si="16"/>
        <v>0.0275</v>
      </c>
      <c r="I291" s="1">
        <f t="shared" si="1"/>
        <v>280</v>
      </c>
      <c r="J291" s="406">
        <f t="shared" si="17"/>
        <v>52688</v>
      </c>
      <c r="K291" s="105">
        <f t="shared" si="9"/>
        <v>24</v>
      </c>
      <c r="L291" s="411">
        <f t="shared" si="10"/>
        <v>0</v>
      </c>
      <c r="M291" s="407">
        <f t="shared" si="2"/>
        <v>0</v>
      </c>
      <c r="N291" s="407">
        <f t="shared" si="3"/>
        <v>0</v>
      </c>
      <c r="O291" s="407">
        <f t="shared" si="4"/>
        <v>-0.000000001049571175</v>
      </c>
      <c r="P291" s="368" t="str">
        <f>IF(AND(K291&gt;K290,K291-2+1='Pro Forma Detail'!D$66),E288,)</f>
        <v/>
      </c>
      <c r="Q291" s="369" t="str">
        <f t="shared" si="11"/>
        <v/>
      </c>
      <c r="R291" s="370">
        <f t="shared" si="12"/>
        <v>0</v>
      </c>
      <c r="S291" s="370">
        <f t="shared" si="13"/>
        <v>0</v>
      </c>
      <c r="T291" s="1"/>
    </row>
    <row r="292" ht="12.75" customHeight="1">
      <c r="A292" s="1">
        <v>281.0</v>
      </c>
      <c r="B292" s="408">
        <f t="shared" si="5"/>
        <v>0</v>
      </c>
      <c r="C292" s="408">
        <f t="shared" si="6"/>
        <v>0</v>
      </c>
      <c r="D292" s="409">
        <f t="shared" si="7"/>
        <v>0</v>
      </c>
      <c r="E292" s="176">
        <f t="shared" si="8"/>
        <v>-0.000000001037602457</v>
      </c>
      <c r="F292" s="408">
        <f t="shared" si="14"/>
        <v>16306617.46</v>
      </c>
      <c r="G292" s="408">
        <f t="shared" si="15"/>
        <v>30373143.87</v>
      </c>
      <c r="H292" s="410">
        <f t="shared" si="16"/>
        <v>0.0275</v>
      </c>
      <c r="I292" s="1">
        <f t="shared" si="1"/>
        <v>281</v>
      </c>
      <c r="J292" s="406">
        <f t="shared" si="17"/>
        <v>52718</v>
      </c>
      <c r="K292" s="105">
        <f t="shared" si="9"/>
        <v>24</v>
      </c>
      <c r="L292" s="411">
        <f t="shared" si="10"/>
        <v>0</v>
      </c>
      <c r="M292" s="407">
        <f t="shared" si="2"/>
        <v>0</v>
      </c>
      <c r="N292" s="407">
        <f t="shared" si="3"/>
        <v>0</v>
      </c>
      <c r="O292" s="407">
        <f t="shared" si="4"/>
        <v>-0.000000001037602457</v>
      </c>
      <c r="P292" s="368" t="str">
        <f>IF(AND(K292&gt;K291,K292-2+1='Pro Forma Detail'!D$66),E289,)</f>
        <v/>
      </c>
      <c r="Q292" s="369" t="str">
        <f t="shared" si="11"/>
        <v/>
      </c>
      <c r="R292" s="370">
        <f t="shared" si="12"/>
        <v>0</v>
      </c>
      <c r="S292" s="370">
        <f t="shared" si="13"/>
        <v>0</v>
      </c>
      <c r="T292" s="1"/>
    </row>
    <row r="293" ht="12.75" customHeight="1">
      <c r="A293" s="1">
        <v>282.0</v>
      </c>
      <c r="B293" s="408">
        <f t="shared" si="5"/>
        <v>0</v>
      </c>
      <c r="C293" s="408">
        <f t="shared" si="6"/>
        <v>0</v>
      </c>
      <c r="D293" s="409">
        <f t="shared" si="7"/>
        <v>0</v>
      </c>
      <c r="E293" s="176">
        <f t="shared" si="8"/>
        <v>-0.000000001025606311</v>
      </c>
      <c r="F293" s="408">
        <f t="shared" si="14"/>
        <v>16306617.46</v>
      </c>
      <c r="G293" s="408">
        <f t="shared" si="15"/>
        <v>30373143.87</v>
      </c>
      <c r="H293" s="410">
        <f t="shared" si="16"/>
        <v>0.0275</v>
      </c>
      <c r="I293" s="1">
        <f t="shared" si="1"/>
        <v>282</v>
      </c>
      <c r="J293" s="406">
        <f t="shared" si="17"/>
        <v>52749</v>
      </c>
      <c r="K293" s="105">
        <f t="shared" si="9"/>
        <v>24</v>
      </c>
      <c r="L293" s="411">
        <f t="shared" si="10"/>
        <v>0</v>
      </c>
      <c r="M293" s="407">
        <f t="shared" si="2"/>
        <v>0</v>
      </c>
      <c r="N293" s="407">
        <f t="shared" si="3"/>
        <v>0</v>
      </c>
      <c r="O293" s="407">
        <f t="shared" si="4"/>
        <v>-0.000000001025606311</v>
      </c>
      <c r="P293" s="368" t="str">
        <f>IF(AND(K293&gt;K292,K293-2+1='Pro Forma Detail'!D$66),E290,)</f>
        <v/>
      </c>
      <c r="Q293" s="369" t="str">
        <f t="shared" si="11"/>
        <v/>
      </c>
      <c r="R293" s="370">
        <f t="shared" si="12"/>
        <v>0</v>
      </c>
      <c r="S293" s="370">
        <f t="shared" si="13"/>
        <v>0</v>
      </c>
      <c r="T293" s="1"/>
    </row>
    <row r="294" ht="12.75" customHeight="1">
      <c r="A294" s="1">
        <v>283.0</v>
      </c>
      <c r="B294" s="408">
        <f t="shared" si="5"/>
        <v>0</v>
      </c>
      <c r="C294" s="408">
        <f t="shared" si="6"/>
        <v>0</v>
      </c>
      <c r="D294" s="409">
        <f t="shared" si="7"/>
        <v>0</v>
      </c>
      <c r="E294" s="176">
        <f t="shared" si="8"/>
        <v>-0.000000001013582674</v>
      </c>
      <c r="F294" s="408">
        <f t="shared" si="14"/>
        <v>16306617.46</v>
      </c>
      <c r="G294" s="408">
        <f t="shared" si="15"/>
        <v>30373143.87</v>
      </c>
      <c r="H294" s="410">
        <f t="shared" si="16"/>
        <v>0.0275</v>
      </c>
      <c r="I294" s="1">
        <f t="shared" si="1"/>
        <v>283</v>
      </c>
      <c r="J294" s="406">
        <f t="shared" si="17"/>
        <v>52779</v>
      </c>
      <c r="K294" s="105">
        <f t="shared" si="9"/>
        <v>24</v>
      </c>
      <c r="L294" s="411">
        <f t="shared" si="10"/>
        <v>0</v>
      </c>
      <c r="M294" s="407">
        <f t="shared" si="2"/>
        <v>0</v>
      </c>
      <c r="N294" s="407">
        <f t="shared" si="3"/>
        <v>0</v>
      </c>
      <c r="O294" s="407">
        <f t="shared" si="4"/>
        <v>-0.000000001013582674</v>
      </c>
      <c r="P294" s="368" t="str">
        <f>IF(AND(K294&gt;K293,K294-2+1='Pro Forma Detail'!D$66),E291,)</f>
        <v/>
      </c>
      <c r="Q294" s="369" t="str">
        <f t="shared" si="11"/>
        <v/>
      </c>
      <c r="R294" s="370">
        <f t="shared" si="12"/>
        <v>0</v>
      </c>
      <c r="S294" s="370">
        <f t="shared" si="13"/>
        <v>0</v>
      </c>
      <c r="T294" s="1"/>
    </row>
    <row r="295" ht="12.75" customHeight="1">
      <c r="A295" s="1">
        <v>284.0</v>
      </c>
      <c r="B295" s="408">
        <f t="shared" si="5"/>
        <v>0</v>
      </c>
      <c r="C295" s="408">
        <f t="shared" si="6"/>
        <v>0</v>
      </c>
      <c r="D295" s="409">
        <f t="shared" si="7"/>
        <v>0</v>
      </c>
      <c r="E295" s="176">
        <f t="shared" si="8"/>
        <v>-0.000000001001531482</v>
      </c>
      <c r="F295" s="408">
        <f t="shared" si="14"/>
        <v>16306617.46</v>
      </c>
      <c r="G295" s="408">
        <f t="shared" si="15"/>
        <v>30373143.87</v>
      </c>
      <c r="H295" s="410">
        <f t="shared" si="16"/>
        <v>0.0275</v>
      </c>
      <c r="I295" s="1">
        <f t="shared" si="1"/>
        <v>284</v>
      </c>
      <c r="J295" s="406">
        <f t="shared" si="17"/>
        <v>52810</v>
      </c>
      <c r="K295" s="105">
        <f t="shared" si="9"/>
        <v>24</v>
      </c>
      <c r="L295" s="411">
        <f t="shared" si="10"/>
        <v>0</v>
      </c>
      <c r="M295" s="407">
        <f t="shared" si="2"/>
        <v>0</v>
      </c>
      <c r="N295" s="407">
        <f t="shared" si="3"/>
        <v>0</v>
      </c>
      <c r="O295" s="407">
        <f t="shared" si="4"/>
        <v>-0.000000001001531482</v>
      </c>
      <c r="P295" s="368" t="str">
        <f>IF(AND(K295&gt;K294,K295-2+1='Pro Forma Detail'!D$66),E292,)</f>
        <v/>
      </c>
      <c r="Q295" s="369" t="str">
        <f t="shared" si="11"/>
        <v/>
      </c>
      <c r="R295" s="370">
        <f t="shared" si="12"/>
        <v>0</v>
      </c>
      <c r="S295" s="370">
        <f t="shared" si="13"/>
        <v>0</v>
      </c>
      <c r="T295" s="1"/>
    </row>
    <row r="296" ht="12.75" customHeight="1">
      <c r="A296" s="1">
        <v>285.0</v>
      </c>
      <c r="B296" s="408">
        <f t="shared" si="5"/>
        <v>0</v>
      </c>
      <c r="C296" s="408">
        <f t="shared" si="6"/>
        <v>0</v>
      </c>
      <c r="D296" s="409">
        <f t="shared" si="7"/>
        <v>0</v>
      </c>
      <c r="E296" s="176">
        <f t="shared" si="8"/>
        <v>-0.0000000009894526735</v>
      </c>
      <c r="F296" s="408">
        <f t="shared" si="14"/>
        <v>16306617.46</v>
      </c>
      <c r="G296" s="408">
        <f t="shared" si="15"/>
        <v>30373143.87</v>
      </c>
      <c r="H296" s="410">
        <f t="shared" si="16"/>
        <v>0.0275</v>
      </c>
      <c r="I296" s="1">
        <f t="shared" si="1"/>
        <v>285</v>
      </c>
      <c r="J296" s="406">
        <f t="shared" si="17"/>
        <v>52841</v>
      </c>
      <c r="K296" s="105">
        <f t="shared" si="9"/>
        <v>24</v>
      </c>
      <c r="L296" s="411">
        <f t="shared" si="10"/>
        <v>0</v>
      </c>
      <c r="M296" s="407">
        <f t="shared" si="2"/>
        <v>0</v>
      </c>
      <c r="N296" s="407">
        <f t="shared" si="3"/>
        <v>0</v>
      </c>
      <c r="O296" s="407">
        <f t="shared" si="4"/>
        <v>-0.0000000009894526735</v>
      </c>
      <c r="P296" s="368" t="str">
        <f>IF(AND(K296&gt;K295,K296-2+1='Pro Forma Detail'!D$66),E293,)</f>
        <v/>
      </c>
      <c r="Q296" s="369" t="str">
        <f t="shared" si="11"/>
        <v/>
      </c>
      <c r="R296" s="370">
        <f t="shared" si="12"/>
        <v>0</v>
      </c>
      <c r="S296" s="370">
        <f t="shared" si="13"/>
        <v>0</v>
      </c>
      <c r="T296" s="1"/>
    </row>
    <row r="297" ht="12.75" customHeight="1">
      <c r="A297" s="1">
        <v>286.0</v>
      </c>
      <c r="B297" s="408">
        <f t="shared" si="5"/>
        <v>0</v>
      </c>
      <c r="C297" s="408">
        <f t="shared" si="6"/>
        <v>0</v>
      </c>
      <c r="D297" s="409">
        <f t="shared" si="7"/>
        <v>0</v>
      </c>
      <c r="E297" s="176">
        <f t="shared" si="8"/>
        <v>-0.0000000009773461841</v>
      </c>
      <c r="F297" s="408">
        <f t="shared" si="14"/>
        <v>16306617.46</v>
      </c>
      <c r="G297" s="408">
        <f t="shared" si="15"/>
        <v>30373143.87</v>
      </c>
      <c r="H297" s="410">
        <f t="shared" si="16"/>
        <v>0.0275</v>
      </c>
      <c r="I297" s="1">
        <f t="shared" si="1"/>
        <v>286</v>
      </c>
      <c r="J297" s="406">
        <f t="shared" si="17"/>
        <v>52871</v>
      </c>
      <c r="K297" s="105">
        <f t="shared" si="9"/>
        <v>24</v>
      </c>
      <c r="L297" s="411">
        <f t="shared" si="10"/>
        <v>0</v>
      </c>
      <c r="M297" s="407">
        <f t="shared" si="2"/>
        <v>0</v>
      </c>
      <c r="N297" s="407">
        <f t="shared" si="3"/>
        <v>0</v>
      </c>
      <c r="O297" s="407">
        <f t="shared" si="4"/>
        <v>-0.0000000009773461841</v>
      </c>
      <c r="P297" s="368" t="str">
        <f>IF(AND(K297&gt;K296,K297-2+1='Pro Forma Detail'!D$66),E294,)</f>
        <v/>
      </c>
      <c r="Q297" s="369" t="str">
        <f t="shared" si="11"/>
        <v/>
      </c>
      <c r="R297" s="370">
        <f t="shared" si="12"/>
        <v>0</v>
      </c>
      <c r="S297" s="370">
        <f t="shared" si="13"/>
        <v>0</v>
      </c>
      <c r="T297" s="1"/>
    </row>
    <row r="298" ht="12.75" customHeight="1">
      <c r="A298" s="1">
        <v>287.0</v>
      </c>
      <c r="B298" s="408">
        <f t="shared" si="5"/>
        <v>0</v>
      </c>
      <c r="C298" s="408">
        <f t="shared" si="6"/>
        <v>0</v>
      </c>
      <c r="D298" s="409">
        <f t="shared" si="7"/>
        <v>0</v>
      </c>
      <c r="E298" s="176">
        <f t="shared" si="8"/>
        <v>-0.0000000009652119506</v>
      </c>
      <c r="F298" s="408">
        <f t="shared" si="14"/>
        <v>16306617.46</v>
      </c>
      <c r="G298" s="408">
        <f t="shared" si="15"/>
        <v>30373143.87</v>
      </c>
      <c r="H298" s="410">
        <f t="shared" si="16"/>
        <v>0.0275</v>
      </c>
      <c r="I298" s="1">
        <f t="shared" si="1"/>
        <v>287</v>
      </c>
      <c r="J298" s="406">
        <f t="shared" si="17"/>
        <v>52902</v>
      </c>
      <c r="K298" s="105">
        <f t="shared" si="9"/>
        <v>24</v>
      </c>
      <c r="L298" s="411">
        <f t="shared" si="10"/>
        <v>0</v>
      </c>
      <c r="M298" s="407">
        <f t="shared" si="2"/>
        <v>0</v>
      </c>
      <c r="N298" s="407">
        <f t="shared" si="3"/>
        <v>0</v>
      </c>
      <c r="O298" s="407">
        <f t="shared" si="4"/>
        <v>-0.0000000009652119506</v>
      </c>
      <c r="P298" s="368" t="str">
        <f>IF(AND(K298&gt;K297,K298-2+1='Pro Forma Detail'!D$66),E295,)</f>
        <v/>
      </c>
      <c r="Q298" s="369" t="str">
        <f t="shared" si="11"/>
        <v/>
      </c>
      <c r="R298" s="370">
        <f t="shared" si="12"/>
        <v>0</v>
      </c>
      <c r="S298" s="370">
        <f t="shared" si="13"/>
        <v>0</v>
      </c>
      <c r="T298" s="1"/>
    </row>
    <row r="299" ht="12.75" customHeight="1">
      <c r="A299" s="1">
        <v>288.0</v>
      </c>
      <c r="B299" s="408">
        <f t="shared" si="5"/>
        <v>0</v>
      </c>
      <c r="C299" s="408">
        <f t="shared" si="6"/>
        <v>0</v>
      </c>
      <c r="D299" s="409">
        <f t="shared" si="7"/>
        <v>0</v>
      </c>
      <c r="E299" s="176">
        <f t="shared" si="8"/>
        <v>-0.0000000009530499096</v>
      </c>
      <c r="F299" s="408">
        <f t="shared" si="14"/>
        <v>16306617.46</v>
      </c>
      <c r="G299" s="408">
        <f t="shared" si="15"/>
        <v>30373143.87</v>
      </c>
      <c r="H299" s="410">
        <f t="shared" si="16"/>
        <v>0.0275</v>
      </c>
      <c r="I299" s="1">
        <f t="shared" si="1"/>
        <v>288</v>
      </c>
      <c r="J299" s="406">
        <f t="shared" si="17"/>
        <v>52932</v>
      </c>
      <c r="K299" s="105">
        <f t="shared" si="9"/>
        <v>24</v>
      </c>
      <c r="L299" s="411">
        <f t="shared" si="10"/>
        <v>0</v>
      </c>
      <c r="M299" s="407">
        <f t="shared" si="2"/>
        <v>0</v>
      </c>
      <c r="N299" s="407">
        <f t="shared" si="3"/>
        <v>0</v>
      </c>
      <c r="O299" s="407">
        <f t="shared" si="4"/>
        <v>-0.0000000009530499096</v>
      </c>
      <c r="P299" s="368" t="str">
        <f>IF(AND(K299&gt;K298,K299-2+1='Pro Forma Detail'!D$66),E296,)</f>
        <v/>
      </c>
      <c r="Q299" s="369" t="str">
        <f t="shared" si="11"/>
        <v/>
      </c>
      <c r="R299" s="370">
        <f t="shared" si="12"/>
        <v>0</v>
      </c>
      <c r="S299" s="370">
        <f t="shared" si="13"/>
        <v>0</v>
      </c>
      <c r="T299" s="1"/>
    </row>
    <row r="300" ht="12.75" customHeight="1">
      <c r="A300" s="1">
        <v>289.0</v>
      </c>
      <c r="B300" s="408">
        <f t="shared" si="5"/>
        <v>0</v>
      </c>
      <c r="C300" s="408">
        <f t="shared" si="6"/>
        <v>0</v>
      </c>
      <c r="D300" s="409">
        <f t="shared" si="7"/>
        <v>0</v>
      </c>
      <c r="E300" s="176">
        <f t="shared" si="8"/>
        <v>-0.0000000009408599972</v>
      </c>
      <c r="F300" s="408">
        <f t="shared" si="14"/>
        <v>16306617.46</v>
      </c>
      <c r="G300" s="408">
        <f t="shared" si="15"/>
        <v>30373143.87</v>
      </c>
      <c r="H300" s="410">
        <f t="shared" si="16"/>
        <v>0.0275</v>
      </c>
      <c r="I300" s="1">
        <f t="shared" si="1"/>
        <v>289</v>
      </c>
      <c r="J300" s="406">
        <f t="shared" si="17"/>
        <v>52963</v>
      </c>
      <c r="K300" s="105">
        <f t="shared" si="9"/>
        <v>25</v>
      </c>
      <c r="L300" s="411">
        <f t="shared" si="10"/>
        <v>0</v>
      </c>
      <c r="M300" s="407">
        <f t="shared" si="2"/>
        <v>0</v>
      </c>
      <c r="N300" s="407">
        <f t="shared" si="3"/>
        <v>0</v>
      </c>
      <c r="O300" s="407">
        <f t="shared" si="4"/>
        <v>-0.0000000009408599972</v>
      </c>
      <c r="P300" s="368" t="str">
        <f>IF(AND(K300&gt;K299,K300-2+1='Pro Forma Detail'!D$66),E297,)</f>
        <v/>
      </c>
      <c r="Q300" s="369" t="str">
        <f t="shared" si="11"/>
        <v/>
      </c>
      <c r="R300" s="370">
        <f t="shared" si="12"/>
        <v>0</v>
      </c>
      <c r="S300" s="370">
        <f t="shared" si="13"/>
        <v>0</v>
      </c>
      <c r="T300" s="1"/>
    </row>
    <row r="301" ht="12.75" customHeight="1">
      <c r="A301" s="1">
        <v>290.0</v>
      </c>
      <c r="B301" s="408">
        <f t="shared" si="5"/>
        <v>0</v>
      </c>
      <c r="C301" s="408">
        <f t="shared" si="6"/>
        <v>0</v>
      </c>
      <c r="D301" s="409">
        <f t="shared" si="7"/>
        <v>0</v>
      </c>
      <c r="E301" s="176">
        <f t="shared" si="8"/>
        <v>-0.0000000009286421495</v>
      </c>
      <c r="F301" s="408">
        <f t="shared" si="14"/>
        <v>16306617.46</v>
      </c>
      <c r="G301" s="408">
        <f t="shared" si="15"/>
        <v>30373143.87</v>
      </c>
      <c r="H301" s="410">
        <f t="shared" si="16"/>
        <v>0.0275</v>
      </c>
      <c r="I301" s="1">
        <f t="shared" si="1"/>
        <v>290</v>
      </c>
      <c r="J301" s="406">
        <f t="shared" si="17"/>
        <v>52994</v>
      </c>
      <c r="K301" s="105">
        <f t="shared" si="9"/>
        <v>25</v>
      </c>
      <c r="L301" s="411">
        <f t="shared" si="10"/>
        <v>0</v>
      </c>
      <c r="M301" s="407">
        <f t="shared" si="2"/>
        <v>0</v>
      </c>
      <c r="N301" s="407">
        <f t="shared" si="3"/>
        <v>0</v>
      </c>
      <c r="O301" s="407">
        <f t="shared" si="4"/>
        <v>-0.0000000009286421495</v>
      </c>
      <c r="P301" s="368" t="str">
        <f>IF(AND(K301&gt;K300,K301-2+1='Pro Forma Detail'!D$66),E298,)</f>
        <v/>
      </c>
      <c r="Q301" s="369" t="str">
        <f t="shared" si="11"/>
        <v/>
      </c>
      <c r="R301" s="370">
        <f t="shared" si="12"/>
        <v>0</v>
      </c>
      <c r="S301" s="370">
        <f t="shared" si="13"/>
        <v>0</v>
      </c>
      <c r="T301" s="1"/>
    </row>
    <row r="302" ht="12.75" customHeight="1">
      <c r="A302" s="1">
        <v>291.0</v>
      </c>
      <c r="B302" s="408">
        <f t="shared" si="5"/>
        <v>0</v>
      </c>
      <c r="C302" s="408">
        <f t="shared" si="6"/>
        <v>0</v>
      </c>
      <c r="D302" s="409">
        <f t="shared" si="7"/>
        <v>0</v>
      </c>
      <c r="E302" s="176">
        <f t="shared" si="8"/>
        <v>-0.0000000009163963027</v>
      </c>
      <c r="F302" s="408">
        <f t="shared" si="14"/>
        <v>16306617.46</v>
      </c>
      <c r="G302" s="408">
        <f t="shared" si="15"/>
        <v>30373143.87</v>
      </c>
      <c r="H302" s="410">
        <f t="shared" si="16"/>
        <v>0.0275</v>
      </c>
      <c r="I302" s="1">
        <f t="shared" si="1"/>
        <v>291</v>
      </c>
      <c r="J302" s="406">
        <f t="shared" si="17"/>
        <v>53022</v>
      </c>
      <c r="K302" s="105">
        <f t="shared" si="9"/>
        <v>25</v>
      </c>
      <c r="L302" s="411">
        <f t="shared" si="10"/>
        <v>0</v>
      </c>
      <c r="M302" s="407">
        <f t="shared" si="2"/>
        <v>0</v>
      </c>
      <c r="N302" s="407">
        <f t="shared" si="3"/>
        <v>0</v>
      </c>
      <c r="O302" s="407">
        <f t="shared" si="4"/>
        <v>-0.0000000009163963027</v>
      </c>
      <c r="P302" s="368" t="str">
        <f>IF(AND(K302&gt;K301,K302-2+1='Pro Forma Detail'!D$66),E299,)</f>
        <v/>
      </c>
      <c r="Q302" s="369" t="str">
        <f t="shared" si="11"/>
        <v/>
      </c>
      <c r="R302" s="370">
        <f t="shared" si="12"/>
        <v>0</v>
      </c>
      <c r="S302" s="370">
        <f t="shared" si="13"/>
        <v>0</v>
      </c>
      <c r="T302" s="1"/>
    </row>
    <row r="303" ht="12.75" customHeight="1">
      <c r="A303" s="1">
        <v>292.0</v>
      </c>
      <c r="B303" s="408">
        <f t="shared" si="5"/>
        <v>0</v>
      </c>
      <c r="C303" s="408">
        <f t="shared" si="6"/>
        <v>0</v>
      </c>
      <c r="D303" s="409">
        <f t="shared" si="7"/>
        <v>0</v>
      </c>
      <c r="E303" s="176">
        <f t="shared" si="8"/>
        <v>-0.0000000009041223924</v>
      </c>
      <c r="F303" s="408">
        <f t="shared" si="14"/>
        <v>16306617.46</v>
      </c>
      <c r="G303" s="408">
        <f t="shared" si="15"/>
        <v>30373143.87</v>
      </c>
      <c r="H303" s="410">
        <f t="shared" si="16"/>
        <v>0.0275</v>
      </c>
      <c r="I303" s="1">
        <f t="shared" si="1"/>
        <v>292</v>
      </c>
      <c r="J303" s="406">
        <f t="shared" si="17"/>
        <v>53053</v>
      </c>
      <c r="K303" s="105">
        <f t="shared" si="9"/>
        <v>25</v>
      </c>
      <c r="L303" s="411">
        <f t="shared" si="10"/>
        <v>0</v>
      </c>
      <c r="M303" s="407">
        <f t="shared" si="2"/>
        <v>0</v>
      </c>
      <c r="N303" s="407">
        <f t="shared" si="3"/>
        <v>0</v>
      </c>
      <c r="O303" s="407">
        <f t="shared" si="4"/>
        <v>-0.0000000009041223924</v>
      </c>
      <c r="P303" s="368" t="str">
        <f>IF(AND(K303&gt;K302,K303-2+1='Pro Forma Detail'!D$66),E300,)</f>
        <v/>
      </c>
      <c r="Q303" s="369" t="str">
        <f t="shared" si="11"/>
        <v/>
      </c>
      <c r="R303" s="370">
        <f t="shared" si="12"/>
        <v>0</v>
      </c>
      <c r="S303" s="370">
        <f t="shared" si="13"/>
        <v>0</v>
      </c>
      <c r="T303" s="1"/>
    </row>
    <row r="304" ht="12.75" customHeight="1">
      <c r="A304" s="1">
        <v>293.0</v>
      </c>
      <c r="B304" s="408">
        <f t="shared" si="5"/>
        <v>0</v>
      </c>
      <c r="C304" s="408">
        <f t="shared" si="6"/>
        <v>0</v>
      </c>
      <c r="D304" s="409">
        <f t="shared" si="7"/>
        <v>0</v>
      </c>
      <c r="E304" s="176">
        <f t="shared" si="8"/>
        <v>-0.0000000008918203545</v>
      </c>
      <c r="F304" s="408">
        <f t="shared" si="14"/>
        <v>16306617.46</v>
      </c>
      <c r="G304" s="408">
        <f t="shared" si="15"/>
        <v>30373143.87</v>
      </c>
      <c r="H304" s="410">
        <f t="shared" si="16"/>
        <v>0.0275</v>
      </c>
      <c r="I304" s="1">
        <f t="shared" si="1"/>
        <v>293</v>
      </c>
      <c r="J304" s="406">
        <f t="shared" si="17"/>
        <v>53083</v>
      </c>
      <c r="K304" s="105">
        <f t="shared" si="9"/>
        <v>25</v>
      </c>
      <c r="L304" s="411">
        <f t="shared" si="10"/>
        <v>0</v>
      </c>
      <c r="M304" s="407">
        <f t="shared" si="2"/>
        <v>0</v>
      </c>
      <c r="N304" s="407">
        <f t="shared" si="3"/>
        <v>0</v>
      </c>
      <c r="O304" s="407">
        <f t="shared" si="4"/>
        <v>-0.0000000008918203545</v>
      </c>
      <c r="P304" s="368" t="str">
        <f>IF(AND(K304&gt;K303,K304-2+1='Pro Forma Detail'!D$66),E301,)</f>
        <v/>
      </c>
      <c r="Q304" s="369" t="str">
        <f t="shared" si="11"/>
        <v/>
      </c>
      <c r="R304" s="370">
        <f t="shared" si="12"/>
        <v>0</v>
      </c>
      <c r="S304" s="370">
        <f t="shared" si="13"/>
        <v>0</v>
      </c>
      <c r="T304" s="1"/>
    </row>
    <row r="305" ht="12.75" customHeight="1">
      <c r="A305" s="1">
        <v>294.0</v>
      </c>
      <c r="B305" s="408">
        <f t="shared" si="5"/>
        <v>0</v>
      </c>
      <c r="C305" s="408">
        <f t="shared" si="6"/>
        <v>0</v>
      </c>
      <c r="D305" s="409">
        <f t="shared" si="7"/>
        <v>0</v>
      </c>
      <c r="E305" s="176">
        <f t="shared" si="8"/>
        <v>-0.0000000008794901244</v>
      </c>
      <c r="F305" s="408">
        <f t="shared" si="14"/>
        <v>16306617.46</v>
      </c>
      <c r="G305" s="408">
        <f t="shared" si="15"/>
        <v>30373143.87</v>
      </c>
      <c r="H305" s="410">
        <f t="shared" si="16"/>
        <v>0.0275</v>
      </c>
      <c r="I305" s="1">
        <f t="shared" si="1"/>
        <v>294</v>
      </c>
      <c r="J305" s="406">
        <f t="shared" si="17"/>
        <v>53114</v>
      </c>
      <c r="K305" s="105">
        <f t="shared" si="9"/>
        <v>25</v>
      </c>
      <c r="L305" s="411">
        <f t="shared" si="10"/>
        <v>0</v>
      </c>
      <c r="M305" s="407">
        <f t="shared" si="2"/>
        <v>0</v>
      </c>
      <c r="N305" s="407">
        <f t="shared" si="3"/>
        <v>0</v>
      </c>
      <c r="O305" s="407">
        <f t="shared" si="4"/>
        <v>-0.0000000008794901244</v>
      </c>
      <c r="P305" s="368" t="str">
        <f>IF(AND(K305&gt;K304,K305-2+1='Pro Forma Detail'!D$66),E302,)</f>
        <v/>
      </c>
      <c r="Q305" s="369" t="str">
        <f t="shared" si="11"/>
        <v/>
      </c>
      <c r="R305" s="370">
        <f t="shared" si="12"/>
        <v>0</v>
      </c>
      <c r="S305" s="370">
        <f t="shared" si="13"/>
        <v>0</v>
      </c>
      <c r="T305" s="1"/>
    </row>
    <row r="306" ht="12.75" customHeight="1">
      <c r="A306" s="1">
        <v>295.0</v>
      </c>
      <c r="B306" s="408">
        <f t="shared" si="5"/>
        <v>0</v>
      </c>
      <c r="C306" s="408">
        <f t="shared" si="6"/>
        <v>0</v>
      </c>
      <c r="D306" s="409">
        <f t="shared" si="7"/>
        <v>0</v>
      </c>
      <c r="E306" s="176">
        <f t="shared" si="8"/>
        <v>-0.0000000008671316374</v>
      </c>
      <c r="F306" s="408">
        <f t="shared" si="14"/>
        <v>16306617.46</v>
      </c>
      <c r="G306" s="408">
        <f t="shared" si="15"/>
        <v>30373143.87</v>
      </c>
      <c r="H306" s="410">
        <f t="shared" si="16"/>
        <v>0.0275</v>
      </c>
      <c r="I306" s="1">
        <f t="shared" si="1"/>
        <v>295</v>
      </c>
      <c r="J306" s="406">
        <f t="shared" si="17"/>
        <v>53144</v>
      </c>
      <c r="K306" s="105">
        <f t="shared" si="9"/>
        <v>25</v>
      </c>
      <c r="L306" s="411">
        <f t="shared" si="10"/>
        <v>0</v>
      </c>
      <c r="M306" s="407">
        <f t="shared" si="2"/>
        <v>0</v>
      </c>
      <c r="N306" s="407">
        <f t="shared" si="3"/>
        <v>0</v>
      </c>
      <c r="O306" s="407">
        <f t="shared" si="4"/>
        <v>-0.0000000008671316374</v>
      </c>
      <c r="P306" s="368" t="str">
        <f>IF(AND(K306&gt;K305,K306-2+1='Pro Forma Detail'!D$66),E303,)</f>
        <v/>
      </c>
      <c r="Q306" s="369" t="str">
        <f t="shared" si="11"/>
        <v/>
      </c>
      <c r="R306" s="370">
        <f t="shared" si="12"/>
        <v>0</v>
      </c>
      <c r="S306" s="370">
        <f t="shared" si="13"/>
        <v>0</v>
      </c>
      <c r="T306" s="1"/>
    </row>
    <row r="307" ht="12.75" customHeight="1">
      <c r="A307" s="1">
        <v>296.0</v>
      </c>
      <c r="B307" s="408">
        <f t="shared" si="5"/>
        <v>0</v>
      </c>
      <c r="C307" s="408">
        <f t="shared" si="6"/>
        <v>0</v>
      </c>
      <c r="D307" s="409">
        <f t="shared" si="7"/>
        <v>0</v>
      </c>
      <c r="E307" s="176">
        <f t="shared" si="8"/>
        <v>-0.000000000854744829</v>
      </c>
      <c r="F307" s="408">
        <f t="shared" si="14"/>
        <v>16306617.46</v>
      </c>
      <c r="G307" s="408">
        <f t="shared" si="15"/>
        <v>30373143.87</v>
      </c>
      <c r="H307" s="410">
        <f t="shared" si="16"/>
        <v>0.0275</v>
      </c>
      <c r="I307" s="1">
        <f t="shared" si="1"/>
        <v>296</v>
      </c>
      <c r="J307" s="406">
        <f t="shared" si="17"/>
        <v>53175</v>
      </c>
      <c r="K307" s="105">
        <f t="shared" si="9"/>
        <v>25</v>
      </c>
      <c r="L307" s="411">
        <f t="shared" si="10"/>
        <v>0</v>
      </c>
      <c r="M307" s="407">
        <f t="shared" si="2"/>
        <v>0</v>
      </c>
      <c r="N307" s="407">
        <f t="shared" si="3"/>
        <v>0</v>
      </c>
      <c r="O307" s="407">
        <f t="shared" si="4"/>
        <v>-0.000000000854744829</v>
      </c>
      <c r="P307" s="368" t="str">
        <f>IF(AND(K307&gt;K306,K307-2+1='Pro Forma Detail'!D$66),E304,)</f>
        <v/>
      </c>
      <c r="Q307" s="369" t="str">
        <f t="shared" si="11"/>
        <v/>
      </c>
      <c r="R307" s="370">
        <f t="shared" si="12"/>
        <v>0</v>
      </c>
      <c r="S307" s="370">
        <f t="shared" si="13"/>
        <v>0</v>
      </c>
      <c r="T307" s="1"/>
    </row>
    <row r="308" ht="12.75" customHeight="1">
      <c r="A308" s="1">
        <v>297.0</v>
      </c>
      <c r="B308" s="408">
        <f t="shared" si="5"/>
        <v>0</v>
      </c>
      <c r="C308" s="408">
        <f t="shared" si="6"/>
        <v>0</v>
      </c>
      <c r="D308" s="409">
        <f t="shared" si="7"/>
        <v>0</v>
      </c>
      <c r="E308" s="176">
        <f t="shared" si="8"/>
        <v>-0.0000000008423296341</v>
      </c>
      <c r="F308" s="408">
        <f t="shared" si="14"/>
        <v>16306617.46</v>
      </c>
      <c r="G308" s="408">
        <f t="shared" si="15"/>
        <v>30373143.87</v>
      </c>
      <c r="H308" s="410">
        <f t="shared" si="16"/>
        <v>0.0275</v>
      </c>
      <c r="I308" s="1">
        <f t="shared" si="1"/>
        <v>297</v>
      </c>
      <c r="J308" s="406">
        <f t="shared" si="17"/>
        <v>53206</v>
      </c>
      <c r="K308" s="105">
        <f t="shared" si="9"/>
        <v>25</v>
      </c>
      <c r="L308" s="411">
        <f t="shared" si="10"/>
        <v>0</v>
      </c>
      <c r="M308" s="407">
        <f t="shared" si="2"/>
        <v>0</v>
      </c>
      <c r="N308" s="407">
        <f t="shared" si="3"/>
        <v>0</v>
      </c>
      <c r="O308" s="407">
        <f t="shared" si="4"/>
        <v>-0.0000000008423296341</v>
      </c>
      <c r="P308" s="368" t="str">
        <f>IF(AND(K308&gt;K307,K308-2+1='Pro Forma Detail'!D$66),E305,)</f>
        <v/>
      </c>
      <c r="Q308" s="369" t="str">
        <f t="shared" si="11"/>
        <v/>
      </c>
      <c r="R308" s="370">
        <f t="shared" si="12"/>
        <v>0</v>
      </c>
      <c r="S308" s="370">
        <f t="shared" si="13"/>
        <v>0</v>
      </c>
      <c r="T308" s="1"/>
    </row>
    <row r="309" ht="12.75" customHeight="1">
      <c r="A309" s="1">
        <v>298.0</v>
      </c>
      <c r="B309" s="408">
        <f t="shared" si="5"/>
        <v>0</v>
      </c>
      <c r="C309" s="408">
        <f t="shared" si="6"/>
        <v>0</v>
      </c>
      <c r="D309" s="409">
        <f t="shared" si="7"/>
        <v>0</v>
      </c>
      <c r="E309" s="176">
        <f t="shared" si="8"/>
        <v>-0.0000000008298859878</v>
      </c>
      <c r="F309" s="408">
        <f t="shared" si="14"/>
        <v>16306617.46</v>
      </c>
      <c r="G309" s="408">
        <f t="shared" si="15"/>
        <v>30373143.87</v>
      </c>
      <c r="H309" s="410">
        <f t="shared" si="16"/>
        <v>0.0275</v>
      </c>
      <c r="I309" s="1">
        <f t="shared" si="1"/>
        <v>298</v>
      </c>
      <c r="J309" s="406">
        <f t="shared" si="17"/>
        <v>53236</v>
      </c>
      <c r="K309" s="105">
        <f t="shared" si="9"/>
        <v>25</v>
      </c>
      <c r="L309" s="411">
        <f t="shared" si="10"/>
        <v>0</v>
      </c>
      <c r="M309" s="407">
        <f t="shared" si="2"/>
        <v>0</v>
      </c>
      <c r="N309" s="407">
        <f t="shared" si="3"/>
        <v>0</v>
      </c>
      <c r="O309" s="407">
        <f t="shared" si="4"/>
        <v>-0.0000000008298859878</v>
      </c>
      <c r="P309" s="368" t="str">
        <f>IF(AND(K309&gt;K308,K309-2+1='Pro Forma Detail'!D$66),E306,)</f>
        <v/>
      </c>
      <c r="Q309" s="369" t="str">
        <f t="shared" si="11"/>
        <v/>
      </c>
      <c r="R309" s="370">
        <f t="shared" si="12"/>
        <v>0</v>
      </c>
      <c r="S309" s="370">
        <f t="shared" si="13"/>
        <v>0</v>
      </c>
      <c r="T309" s="1"/>
    </row>
    <row r="310" ht="12.75" customHeight="1">
      <c r="A310" s="1">
        <v>299.0</v>
      </c>
      <c r="B310" s="408">
        <f t="shared" si="5"/>
        <v>0</v>
      </c>
      <c r="C310" s="408">
        <f t="shared" si="6"/>
        <v>0</v>
      </c>
      <c r="D310" s="409">
        <f t="shared" si="7"/>
        <v>0</v>
      </c>
      <c r="E310" s="176">
        <f t="shared" si="8"/>
        <v>-0.0000000008174138247</v>
      </c>
      <c r="F310" s="408">
        <f t="shared" si="14"/>
        <v>16306617.46</v>
      </c>
      <c r="G310" s="408">
        <f t="shared" si="15"/>
        <v>30373143.87</v>
      </c>
      <c r="H310" s="410">
        <f t="shared" si="16"/>
        <v>0.0275</v>
      </c>
      <c r="I310" s="1">
        <f t="shared" si="1"/>
        <v>299</v>
      </c>
      <c r="J310" s="406">
        <f t="shared" si="17"/>
        <v>53267</v>
      </c>
      <c r="K310" s="105">
        <f t="shared" si="9"/>
        <v>25</v>
      </c>
      <c r="L310" s="411">
        <f t="shared" si="10"/>
        <v>0</v>
      </c>
      <c r="M310" s="407">
        <f t="shared" si="2"/>
        <v>0</v>
      </c>
      <c r="N310" s="407">
        <f t="shared" si="3"/>
        <v>0</v>
      </c>
      <c r="O310" s="407">
        <f t="shared" si="4"/>
        <v>-0.0000000008174138247</v>
      </c>
      <c r="P310" s="368" t="str">
        <f>IF(AND(K310&gt;K309,K310-2+1='Pro Forma Detail'!D$66),E307,)</f>
        <v/>
      </c>
      <c r="Q310" s="369" t="str">
        <f t="shared" si="11"/>
        <v/>
      </c>
      <c r="R310" s="370">
        <f t="shared" si="12"/>
        <v>0</v>
      </c>
      <c r="S310" s="370">
        <f t="shared" si="13"/>
        <v>0</v>
      </c>
      <c r="T310" s="1"/>
    </row>
    <row r="311" ht="12.75" customHeight="1">
      <c r="A311" s="1">
        <v>300.0</v>
      </c>
      <c r="B311" s="408">
        <f t="shared" si="5"/>
        <v>0</v>
      </c>
      <c r="C311" s="408">
        <f t="shared" si="6"/>
        <v>0</v>
      </c>
      <c r="D311" s="409">
        <f t="shared" si="7"/>
        <v>0</v>
      </c>
      <c r="E311" s="176">
        <f t="shared" si="8"/>
        <v>-0.0000000008049130796</v>
      </c>
      <c r="F311" s="408">
        <f t="shared" si="14"/>
        <v>16306617.46</v>
      </c>
      <c r="G311" s="408">
        <f t="shared" si="15"/>
        <v>30373143.87</v>
      </c>
      <c r="H311" s="410">
        <f t="shared" si="16"/>
        <v>0.0275</v>
      </c>
      <c r="I311" s="1">
        <f t="shared" si="1"/>
        <v>300</v>
      </c>
      <c r="J311" s="406">
        <f t="shared" si="17"/>
        <v>53297</v>
      </c>
      <c r="K311" s="105">
        <f t="shared" si="9"/>
        <v>25</v>
      </c>
      <c r="L311" s="411">
        <f t="shared" si="10"/>
        <v>0</v>
      </c>
      <c r="M311" s="407">
        <f t="shared" si="2"/>
        <v>0</v>
      </c>
      <c r="N311" s="407">
        <f t="shared" si="3"/>
        <v>0</v>
      </c>
      <c r="O311" s="407">
        <f t="shared" si="4"/>
        <v>-0.0000000008049130796</v>
      </c>
      <c r="P311" s="368" t="str">
        <f>IF(AND(K311&gt;K310,K311-2+1='Pro Forma Detail'!D$66),E308,)</f>
        <v/>
      </c>
      <c r="Q311" s="369" t="str">
        <f t="shared" si="11"/>
        <v/>
      </c>
      <c r="R311" s="370">
        <f t="shared" si="12"/>
        <v>0</v>
      </c>
      <c r="S311" s="370">
        <f t="shared" si="13"/>
        <v>0</v>
      </c>
      <c r="T311" s="1"/>
    </row>
    <row r="312" ht="12.75" customHeight="1">
      <c r="A312" s="1">
        <v>301.0</v>
      </c>
      <c r="B312" s="408">
        <f t="shared" si="5"/>
        <v>0</v>
      </c>
      <c r="C312" s="408">
        <f t="shared" si="6"/>
        <v>0</v>
      </c>
      <c r="D312" s="409">
        <f t="shared" si="7"/>
        <v>0</v>
      </c>
      <c r="E312" s="176">
        <f t="shared" si="8"/>
        <v>-0.000000000792383687</v>
      </c>
      <c r="F312" s="408">
        <f t="shared" si="14"/>
        <v>16306617.46</v>
      </c>
      <c r="G312" s="408">
        <f t="shared" si="15"/>
        <v>30373143.87</v>
      </c>
      <c r="H312" s="410">
        <f t="shared" si="16"/>
        <v>0.0275</v>
      </c>
      <c r="I312" s="1">
        <f t="shared" si="1"/>
        <v>301</v>
      </c>
      <c r="J312" s="406">
        <f t="shared" si="17"/>
        <v>53328</v>
      </c>
      <c r="K312" s="105">
        <f t="shared" si="9"/>
        <v>26</v>
      </c>
      <c r="L312" s="411">
        <f t="shared" si="10"/>
        <v>0</v>
      </c>
      <c r="M312" s="407">
        <f t="shared" si="2"/>
        <v>0</v>
      </c>
      <c r="N312" s="407">
        <f t="shared" si="3"/>
        <v>0</v>
      </c>
      <c r="O312" s="407">
        <f t="shared" si="4"/>
        <v>-0.000000000792383687</v>
      </c>
      <c r="P312" s="368" t="str">
        <f>IF(AND(K312&gt;K311,K312-2+1='Pro Forma Detail'!D$66),E309,)</f>
        <v/>
      </c>
      <c r="Q312" s="369" t="str">
        <f t="shared" si="11"/>
        <v/>
      </c>
      <c r="R312" s="370">
        <f t="shared" si="12"/>
        <v>0</v>
      </c>
      <c r="S312" s="370">
        <f t="shared" si="13"/>
        <v>0</v>
      </c>
      <c r="T312" s="1"/>
    </row>
    <row r="313" ht="12.75" customHeight="1">
      <c r="A313" s="1">
        <v>302.0</v>
      </c>
      <c r="B313" s="408">
        <f t="shared" si="5"/>
        <v>0</v>
      </c>
      <c r="C313" s="408">
        <f t="shared" si="6"/>
        <v>0</v>
      </c>
      <c r="D313" s="409">
        <f t="shared" si="7"/>
        <v>0</v>
      </c>
      <c r="E313" s="176">
        <f t="shared" si="8"/>
        <v>-0.0000000007798255811</v>
      </c>
      <c r="F313" s="408">
        <f t="shared" si="14"/>
        <v>16306617.46</v>
      </c>
      <c r="G313" s="408">
        <f t="shared" si="15"/>
        <v>30373143.87</v>
      </c>
      <c r="H313" s="410">
        <f t="shared" si="16"/>
        <v>0.0275</v>
      </c>
      <c r="I313" s="1">
        <f t="shared" si="1"/>
        <v>302</v>
      </c>
      <c r="J313" s="406">
        <f t="shared" si="17"/>
        <v>53359</v>
      </c>
      <c r="K313" s="105">
        <f t="shared" si="9"/>
        <v>26</v>
      </c>
      <c r="L313" s="411">
        <f t="shared" si="10"/>
        <v>0</v>
      </c>
      <c r="M313" s="407">
        <f t="shared" si="2"/>
        <v>0</v>
      </c>
      <c r="N313" s="407">
        <f t="shared" si="3"/>
        <v>0</v>
      </c>
      <c r="O313" s="407">
        <f t="shared" si="4"/>
        <v>-0.0000000007798255811</v>
      </c>
      <c r="P313" s="368" t="str">
        <f>IF(AND(K313&gt;K312,K313-2+1='Pro Forma Detail'!D$66),E310,)</f>
        <v/>
      </c>
      <c r="Q313" s="369" t="str">
        <f t="shared" si="11"/>
        <v/>
      </c>
      <c r="R313" s="370">
        <f t="shared" si="12"/>
        <v>0</v>
      </c>
      <c r="S313" s="370">
        <f t="shared" si="13"/>
        <v>0</v>
      </c>
      <c r="T313" s="1"/>
    </row>
    <row r="314" ht="12.75" customHeight="1">
      <c r="A314" s="1">
        <v>303.0</v>
      </c>
      <c r="B314" s="408">
        <f t="shared" si="5"/>
        <v>0</v>
      </c>
      <c r="C314" s="408">
        <f t="shared" si="6"/>
        <v>0</v>
      </c>
      <c r="D314" s="409">
        <f t="shared" si="7"/>
        <v>0</v>
      </c>
      <c r="E314" s="176">
        <f t="shared" si="8"/>
        <v>-0.0000000007672386963</v>
      </c>
      <c r="F314" s="408">
        <f t="shared" si="14"/>
        <v>16306617.46</v>
      </c>
      <c r="G314" s="408">
        <f t="shared" si="15"/>
        <v>30373143.87</v>
      </c>
      <c r="H314" s="410">
        <f t="shared" si="16"/>
        <v>0.0275</v>
      </c>
      <c r="I314" s="1">
        <f t="shared" si="1"/>
        <v>303</v>
      </c>
      <c r="J314" s="406">
        <f t="shared" si="17"/>
        <v>53387</v>
      </c>
      <c r="K314" s="105">
        <f t="shared" si="9"/>
        <v>26</v>
      </c>
      <c r="L314" s="411">
        <f t="shared" si="10"/>
        <v>0</v>
      </c>
      <c r="M314" s="407">
        <f t="shared" si="2"/>
        <v>0</v>
      </c>
      <c r="N314" s="407">
        <f t="shared" si="3"/>
        <v>0</v>
      </c>
      <c r="O314" s="407">
        <f t="shared" si="4"/>
        <v>-0.0000000007672386963</v>
      </c>
      <c r="P314" s="368" t="str">
        <f>IF(AND(K314&gt;K313,K314-2+1='Pro Forma Detail'!D$66),E311,)</f>
        <v/>
      </c>
      <c r="Q314" s="369" t="str">
        <f t="shared" si="11"/>
        <v/>
      </c>
      <c r="R314" s="370">
        <f t="shared" si="12"/>
        <v>0</v>
      </c>
      <c r="S314" s="370">
        <f t="shared" si="13"/>
        <v>0</v>
      </c>
      <c r="T314" s="1"/>
    </row>
    <row r="315" ht="12.75" customHeight="1">
      <c r="A315" s="1">
        <v>304.0</v>
      </c>
      <c r="B315" s="408">
        <f t="shared" si="5"/>
        <v>0</v>
      </c>
      <c r="C315" s="408">
        <f t="shared" si="6"/>
        <v>0</v>
      </c>
      <c r="D315" s="409">
        <f t="shared" si="7"/>
        <v>0</v>
      </c>
      <c r="E315" s="176">
        <f t="shared" si="8"/>
        <v>-0.0000000007546229666</v>
      </c>
      <c r="F315" s="408">
        <f t="shared" si="14"/>
        <v>16306617.46</v>
      </c>
      <c r="G315" s="408">
        <f t="shared" si="15"/>
        <v>30373143.87</v>
      </c>
      <c r="H315" s="410">
        <f t="shared" si="16"/>
        <v>0.0275</v>
      </c>
      <c r="I315" s="1">
        <f t="shared" si="1"/>
        <v>304</v>
      </c>
      <c r="J315" s="406">
        <f t="shared" si="17"/>
        <v>53418</v>
      </c>
      <c r="K315" s="105">
        <f t="shared" si="9"/>
        <v>26</v>
      </c>
      <c r="L315" s="411">
        <f t="shared" si="10"/>
        <v>0</v>
      </c>
      <c r="M315" s="407">
        <f t="shared" si="2"/>
        <v>0</v>
      </c>
      <c r="N315" s="407">
        <f t="shared" si="3"/>
        <v>0</v>
      </c>
      <c r="O315" s="407">
        <f t="shared" si="4"/>
        <v>-0.0000000007546229666</v>
      </c>
      <c r="P315" s="368" t="str">
        <f>IF(AND(K315&gt;K314,K315-2+1='Pro Forma Detail'!D$66),E312,)</f>
        <v/>
      </c>
      <c r="Q315" s="369" t="str">
        <f t="shared" si="11"/>
        <v/>
      </c>
      <c r="R315" s="370">
        <f t="shared" si="12"/>
        <v>0</v>
      </c>
      <c r="S315" s="370">
        <f t="shared" si="13"/>
        <v>0</v>
      </c>
      <c r="T315" s="1"/>
    </row>
    <row r="316" ht="12.75" customHeight="1">
      <c r="A316" s="1">
        <v>305.0</v>
      </c>
      <c r="B316" s="408">
        <f t="shared" si="5"/>
        <v>0</v>
      </c>
      <c r="C316" s="408">
        <f t="shared" si="6"/>
        <v>0</v>
      </c>
      <c r="D316" s="409">
        <f t="shared" si="7"/>
        <v>0</v>
      </c>
      <c r="E316" s="176">
        <f t="shared" si="8"/>
        <v>-0.0000000007419783258</v>
      </c>
      <c r="F316" s="408">
        <f t="shared" si="14"/>
        <v>16306617.46</v>
      </c>
      <c r="G316" s="408">
        <f t="shared" si="15"/>
        <v>30373143.87</v>
      </c>
      <c r="H316" s="410">
        <f t="shared" si="16"/>
        <v>0.0275</v>
      </c>
      <c r="I316" s="1">
        <f t="shared" si="1"/>
        <v>305</v>
      </c>
      <c r="J316" s="406">
        <f t="shared" si="17"/>
        <v>53448</v>
      </c>
      <c r="K316" s="105">
        <f t="shared" si="9"/>
        <v>26</v>
      </c>
      <c r="L316" s="411">
        <f t="shared" si="10"/>
        <v>0</v>
      </c>
      <c r="M316" s="407">
        <f t="shared" si="2"/>
        <v>0</v>
      </c>
      <c r="N316" s="407">
        <f t="shared" si="3"/>
        <v>0</v>
      </c>
      <c r="O316" s="407">
        <f t="shared" si="4"/>
        <v>-0.0000000007419783258</v>
      </c>
      <c r="P316" s="368" t="str">
        <f>IF(AND(K316&gt;K315,K316-2+1='Pro Forma Detail'!D$66),E313,)</f>
        <v/>
      </c>
      <c r="Q316" s="369" t="str">
        <f t="shared" si="11"/>
        <v/>
      </c>
      <c r="R316" s="370">
        <f t="shared" si="12"/>
        <v>0</v>
      </c>
      <c r="S316" s="370">
        <f t="shared" si="13"/>
        <v>0</v>
      </c>
      <c r="T316" s="1"/>
    </row>
    <row r="317" ht="12.75" customHeight="1">
      <c r="A317" s="1">
        <v>306.0</v>
      </c>
      <c r="B317" s="408">
        <f t="shared" si="5"/>
        <v>0</v>
      </c>
      <c r="C317" s="408">
        <f t="shared" si="6"/>
        <v>0</v>
      </c>
      <c r="D317" s="409">
        <f t="shared" si="7"/>
        <v>0</v>
      </c>
      <c r="E317" s="176">
        <f t="shared" si="8"/>
        <v>-0.0000000007293047076</v>
      </c>
      <c r="F317" s="408">
        <f t="shared" si="14"/>
        <v>16306617.46</v>
      </c>
      <c r="G317" s="408">
        <f t="shared" si="15"/>
        <v>30373143.87</v>
      </c>
      <c r="H317" s="410">
        <f t="shared" si="16"/>
        <v>0.0275</v>
      </c>
      <c r="I317" s="1">
        <f t="shared" si="1"/>
        <v>306</v>
      </c>
      <c r="J317" s="406">
        <f t="shared" si="17"/>
        <v>53479</v>
      </c>
      <c r="K317" s="105">
        <f t="shared" si="9"/>
        <v>26</v>
      </c>
      <c r="L317" s="411">
        <f t="shared" si="10"/>
        <v>0</v>
      </c>
      <c r="M317" s="407">
        <f t="shared" si="2"/>
        <v>0</v>
      </c>
      <c r="N317" s="407">
        <f t="shared" si="3"/>
        <v>0</v>
      </c>
      <c r="O317" s="407">
        <f t="shared" si="4"/>
        <v>-0.0000000007293047076</v>
      </c>
      <c r="P317" s="368" t="str">
        <f>IF(AND(K317&gt;K316,K317-2+1='Pro Forma Detail'!D$66),E314,)</f>
        <v/>
      </c>
      <c r="Q317" s="369" t="str">
        <f t="shared" si="11"/>
        <v/>
      </c>
      <c r="R317" s="370">
        <f t="shared" si="12"/>
        <v>0</v>
      </c>
      <c r="S317" s="370">
        <f t="shared" si="13"/>
        <v>0</v>
      </c>
      <c r="T317" s="1"/>
    </row>
    <row r="318" ht="12.75" customHeight="1">
      <c r="A318" s="1">
        <v>307.0</v>
      </c>
      <c r="B318" s="408">
        <f t="shared" si="5"/>
        <v>0</v>
      </c>
      <c r="C318" s="408">
        <f t="shared" si="6"/>
        <v>0</v>
      </c>
      <c r="D318" s="409">
        <f t="shared" si="7"/>
        <v>0</v>
      </c>
      <c r="E318" s="176">
        <f t="shared" si="8"/>
        <v>-0.0000000007166020458</v>
      </c>
      <c r="F318" s="408">
        <f t="shared" si="14"/>
        <v>16306617.46</v>
      </c>
      <c r="G318" s="408">
        <f t="shared" si="15"/>
        <v>30373143.87</v>
      </c>
      <c r="H318" s="410">
        <f t="shared" si="16"/>
        <v>0.0275</v>
      </c>
      <c r="I318" s="1">
        <f t="shared" si="1"/>
        <v>307</v>
      </c>
      <c r="J318" s="406">
        <f t="shared" si="17"/>
        <v>53509</v>
      </c>
      <c r="K318" s="105">
        <f t="shared" si="9"/>
        <v>26</v>
      </c>
      <c r="L318" s="411">
        <f t="shared" si="10"/>
        <v>0</v>
      </c>
      <c r="M318" s="407">
        <f t="shared" si="2"/>
        <v>0</v>
      </c>
      <c r="N318" s="407">
        <f t="shared" si="3"/>
        <v>0</v>
      </c>
      <c r="O318" s="407">
        <f t="shared" si="4"/>
        <v>-0.0000000007166020458</v>
      </c>
      <c r="P318" s="368" t="str">
        <f>IF(AND(K318&gt;K317,K318-2+1='Pro Forma Detail'!D$66),E315,)</f>
        <v/>
      </c>
      <c r="Q318" s="369" t="str">
        <f t="shared" si="11"/>
        <v/>
      </c>
      <c r="R318" s="370">
        <f t="shared" si="12"/>
        <v>0</v>
      </c>
      <c r="S318" s="370">
        <f t="shared" si="13"/>
        <v>0</v>
      </c>
      <c r="T318" s="1"/>
    </row>
    <row r="319" ht="12.75" customHeight="1">
      <c r="A319" s="1">
        <v>308.0</v>
      </c>
      <c r="B319" s="408">
        <f t="shared" si="5"/>
        <v>0</v>
      </c>
      <c r="C319" s="408">
        <f t="shared" si="6"/>
        <v>0</v>
      </c>
      <c r="D319" s="409">
        <f t="shared" si="7"/>
        <v>0</v>
      </c>
      <c r="E319" s="176">
        <f t="shared" si="8"/>
        <v>-0.0000000007038702737</v>
      </c>
      <c r="F319" s="408">
        <f t="shared" si="14"/>
        <v>16306617.46</v>
      </c>
      <c r="G319" s="408">
        <f t="shared" si="15"/>
        <v>30373143.87</v>
      </c>
      <c r="H319" s="410">
        <f t="shared" si="16"/>
        <v>0.0275</v>
      </c>
      <c r="I319" s="1">
        <f t="shared" si="1"/>
        <v>308</v>
      </c>
      <c r="J319" s="406">
        <f t="shared" si="17"/>
        <v>53540</v>
      </c>
      <c r="K319" s="105">
        <f t="shared" si="9"/>
        <v>26</v>
      </c>
      <c r="L319" s="411">
        <f t="shared" si="10"/>
        <v>0</v>
      </c>
      <c r="M319" s="407">
        <f t="shared" si="2"/>
        <v>0</v>
      </c>
      <c r="N319" s="407">
        <f t="shared" si="3"/>
        <v>0</v>
      </c>
      <c r="O319" s="407">
        <f t="shared" si="4"/>
        <v>-0.0000000007038702737</v>
      </c>
      <c r="P319" s="368" t="str">
        <f>IF(AND(K319&gt;K318,K319-2+1='Pro Forma Detail'!D$66),E316,)</f>
        <v/>
      </c>
      <c r="Q319" s="369" t="str">
        <f t="shared" si="11"/>
        <v/>
      </c>
      <c r="R319" s="370">
        <f t="shared" si="12"/>
        <v>0</v>
      </c>
      <c r="S319" s="370">
        <f t="shared" si="13"/>
        <v>0</v>
      </c>
      <c r="T319" s="1"/>
    </row>
    <row r="320" ht="12.75" customHeight="1">
      <c r="A320" s="1">
        <v>309.0</v>
      </c>
      <c r="B320" s="408">
        <f t="shared" si="5"/>
        <v>0</v>
      </c>
      <c r="C320" s="408">
        <f t="shared" si="6"/>
        <v>0</v>
      </c>
      <c r="D320" s="409">
        <f t="shared" si="7"/>
        <v>0</v>
      </c>
      <c r="E320" s="176">
        <f t="shared" si="8"/>
        <v>-0.0000000006911093247</v>
      </c>
      <c r="F320" s="408">
        <f t="shared" si="14"/>
        <v>16306617.46</v>
      </c>
      <c r="G320" s="408">
        <f t="shared" si="15"/>
        <v>30373143.87</v>
      </c>
      <c r="H320" s="410">
        <f t="shared" si="16"/>
        <v>0.0275</v>
      </c>
      <c r="I320" s="1">
        <f t="shared" si="1"/>
        <v>309</v>
      </c>
      <c r="J320" s="406">
        <f t="shared" si="17"/>
        <v>53571</v>
      </c>
      <c r="K320" s="105">
        <f t="shared" si="9"/>
        <v>26</v>
      </c>
      <c r="L320" s="411">
        <f t="shared" si="10"/>
        <v>0</v>
      </c>
      <c r="M320" s="407">
        <f t="shared" si="2"/>
        <v>0</v>
      </c>
      <c r="N320" s="407">
        <f t="shared" si="3"/>
        <v>0</v>
      </c>
      <c r="O320" s="407">
        <f t="shared" si="4"/>
        <v>-0.0000000006911093247</v>
      </c>
      <c r="P320" s="368" t="str">
        <f>IF(AND(K320&gt;K319,K320-2+1='Pro Forma Detail'!D$66),E317,)</f>
        <v/>
      </c>
      <c r="Q320" s="369" t="str">
        <f t="shared" si="11"/>
        <v/>
      </c>
      <c r="R320" s="370">
        <f t="shared" si="12"/>
        <v>0</v>
      </c>
      <c r="S320" s="370">
        <f t="shared" si="13"/>
        <v>0</v>
      </c>
      <c r="T320" s="1"/>
    </row>
    <row r="321" ht="12.75" customHeight="1">
      <c r="A321" s="1">
        <v>310.0</v>
      </c>
      <c r="B321" s="408">
        <f t="shared" si="5"/>
        <v>0</v>
      </c>
      <c r="C321" s="408">
        <f t="shared" si="6"/>
        <v>0</v>
      </c>
      <c r="D321" s="409">
        <f t="shared" si="7"/>
        <v>0</v>
      </c>
      <c r="E321" s="176">
        <f t="shared" si="8"/>
        <v>-0.0000000006783191318</v>
      </c>
      <c r="F321" s="408">
        <f t="shared" si="14"/>
        <v>16306617.46</v>
      </c>
      <c r="G321" s="408">
        <f t="shared" si="15"/>
        <v>30373143.87</v>
      </c>
      <c r="H321" s="410">
        <f t="shared" si="16"/>
        <v>0.0275</v>
      </c>
      <c r="I321" s="1">
        <f t="shared" si="1"/>
        <v>310</v>
      </c>
      <c r="J321" s="406">
        <f t="shared" si="17"/>
        <v>53601</v>
      </c>
      <c r="K321" s="105">
        <f t="shared" si="9"/>
        <v>26</v>
      </c>
      <c r="L321" s="411">
        <f t="shared" si="10"/>
        <v>0</v>
      </c>
      <c r="M321" s="407">
        <f t="shared" si="2"/>
        <v>0</v>
      </c>
      <c r="N321" s="407">
        <f t="shared" si="3"/>
        <v>0</v>
      </c>
      <c r="O321" s="407">
        <f t="shared" si="4"/>
        <v>-0.0000000006783191318</v>
      </c>
      <c r="P321" s="368" t="str">
        <f>IF(AND(K321&gt;K320,K321-2+1='Pro Forma Detail'!D$66),E318,)</f>
        <v/>
      </c>
      <c r="Q321" s="369" t="str">
        <f t="shared" si="11"/>
        <v/>
      </c>
      <c r="R321" s="370">
        <f t="shared" si="12"/>
        <v>0</v>
      </c>
      <c r="S321" s="370">
        <f t="shared" si="13"/>
        <v>0</v>
      </c>
      <c r="T321" s="1"/>
    </row>
    <row r="322" ht="12.75" customHeight="1">
      <c r="A322" s="1">
        <v>311.0</v>
      </c>
      <c r="B322" s="408">
        <f t="shared" si="5"/>
        <v>0</v>
      </c>
      <c r="C322" s="408">
        <f t="shared" si="6"/>
        <v>0</v>
      </c>
      <c r="D322" s="409">
        <f t="shared" si="7"/>
        <v>0</v>
      </c>
      <c r="E322" s="176">
        <f t="shared" si="8"/>
        <v>-0.000000000665499628</v>
      </c>
      <c r="F322" s="408">
        <f t="shared" si="14"/>
        <v>16306617.46</v>
      </c>
      <c r="G322" s="408">
        <f t="shared" si="15"/>
        <v>30373143.87</v>
      </c>
      <c r="H322" s="410">
        <f t="shared" si="16"/>
        <v>0.0275</v>
      </c>
      <c r="I322" s="1">
        <f t="shared" si="1"/>
        <v>311</v>
      </c>
      <c r="J322" s="406">
        <f t="shared" si="17"/>
        <v>53632</v>
      </c>
      <c r="K322" s="105">
        <f t="shared" si="9"/>
        <v>26</v>
      </c>
      <c r="L322" s="411">
        <f t="shared" si="10"/>
        <v>0</v>
      </c>
      <c r="M322" s="407">
        <f t="shared" si="2"/>
        <v>0</v>
      </c>
      <c r="N322" s="407">
        <f t="shared" si="3"/>
        <v>0</v>
      </c>
      <c r="O322" s="407">
        <f t="shared" si="4"/>
        <v>-0.000000000665499628</v>
      </c>
      <c r="P322" s="368" t="str">
        <f>IF(AND(K322&gt;K321,K322-2+1='Pro Forma Detail'!D$66),E319,)</f>
        <v/>
      </c>
      <c r="Q322" s="369" t="str">
        <f t="shared" si="11"/>
        <v/>
      </c>
      <c r="R322" s="370">
        <f t="shared" si="12"/>
        <v>0</v>
      </c>
      <c r="S322" s="370">
        <f t="shared" si="13"/>
        <v>0</v>
      </c>
      <c r="T322" s="1"/>
    </row>
    <row r="323" ht="12.75" customHeight="1">
      <c r="A323" s="1">
        <v>312.0</v>
      </c>
      <c r="B323" s="408">
        <f t="shared" si="5"/>
        <v>0</v>
      </c>
      <c r="C323" s="408">
        <f t="shared" si="6"/>
        <v>0</v>
      </c>
      <c r="D323" s="409">
        <f t="shared" si="7"/>
        <v>0</v>
      </c>
      <c r="E323" s="176">
        <f t="shared" si="8"/>
        <v>-0.0000000006526507462</v>
      </c>
      <c r="F323" s="408">
        <f t="shared" si="14"/>
        <v>16306617.46</v>
      </c>
      <c r="G323" s="408">
        <f t="shared" si="15"/>
        <v>30373143.87</v>
      </c>
      <c r="H323" s="410">
        <f t="shared" si="16"/>
        <v>0.0275</v>
      </c>
      <c r="I323" s="1">
        <f t="shared" si="1"/>
        <v>312</v>
      </c>
      <c r="J323" s="406">
        <f t="shared" si="17"/>
        <v>53662</v>
      </c>
      <c r="K323" s="105">
        <f t="shared" si="9"/>
        <v>26</v>
      </c>
      <c r="L323" s="411">
        <f t="shared" si="10"/>
        <v>0</v>
      </c>
      <c r="M323" s="407">
        <f t="shared" si="2"/>
        <v>0</v>
      </c>
      <c r="N323" s="407">
        <f t="shared" si="3"/>
        <v>0</v>
      </c>
      <c r="O323" s="407">
        <f t="shared" si="4"/>
        <v>-0.0000000006526507462</v>
      </c>
      <c r="P323" s="368" t="str">
        <f>IF(AND(K323&gt;K322,K323-2+1='Pro Forma Detail'!D$66),E320,)</f>
        <v/>
      </c>
      <c r="Q323" s="369" t="str">
        <f t="shared" si="11"/>
        <v/>
      </c>
      <c r="R323" s="370">
        <f t="shared" si="12"/>
        <v>0</v>
      </c>
      <c r="S323" s="370">
        <f t="shared" si="13"/>
        <v>0</v>
      </c>
      <c r="T323" s="1"/>
    </row>
    <row r="324" ht="12.75" customHeight="1">
      <c r="A324" s="1">
        <v>313.0</v>
      </c>
      <c r="B324" s="408">
        <f t="shared" si="5"/>
        <v>0</v>
      </c>
      <c r="C324" s="408">
        <f t="shared" si="6"/>
        <v>0</v>
      </c>
      <c r="D324" s="409">
        <f t="shared" si="7"/>
        <v>0</v>
      </c>
      <c r="E324" s="176">
        <f t="shared" si="8"/>
        <v>-0.000000000639772419</v>
      </c>
      <c r="F324" s="408">
        <f t="shared" si="14"/>
        <v>16306617.46</v>
      </c>
      <c r="G324" s="408">
        <f t="shared" si="15"/>
        <v>30373143.87</v>
      </c>
      <c r="H324" s="410">
        <f t="shared" si="16"/>
        <v>0.0275</v>
      </c>
      <c r="I324" s="1">
        <f t="shared" si="1"/>
        <v>313</v>
      </c>
      <c r="J324" s="406">
        <f t="shared" si="17"/>
        <v>53693</v>
      </c>
      <c r="K324" s="105">
        <f t="shared" si="9"/>
        <v>27</v>
      </c>
      <c r="L324" s="411">
        <f t="shared" si="10"/>
        <v>0</v>
      </c>
      <c r="M324" s="407">
        <f t="shared" si="2"/>
        <v>0</v>
      </c>
      <c r="N324" s="407">
        <f t="shared" si="3"/>
        <v>0</v>
      </c>
      <c r="O324" s="407">
        <f t="shared" si="4"/>
        <v>-0.000000000639772419</v>
      </c>
      <c r="P324" s="368" t="str">
        <f>IF(AND(K324&gt;K323,K324-2+1='Pro Forma Detail'!D$66),E321,)</f>
        <v/>
      </c>
      <c r="Q324" s="369" t="str">
        <f t="shared" si="11"/>
        <v/>
      </c>
      <c r="R324" s="370">
        <f t="shared" si="12"/>
        <v>0</v>
      </c>
      <c r="S324" s="370">
        <f t="shared" si="13"/>
        <v>0</v>
      </c>
      <c r="T324" s="1"/>
    </row>
    <row r="325" ht="12.75" customHeight="1">
      <c r="A325" s="1">
        <v>314.0</v>
      </c>
      <c r="B325" s="408">
        <f t="shared" si="5"/>
        <v>0</v>
      </c>
      <c r="C325" s="408">
        <f t="shared" si="6"/>
        <v>0</v>
      </c>
      <c r="D325" s="409">
        <f t="shared" si="7"/>
        <v>0</v>
      </c>
      <c r="E325" s="176">
        <f t="shared" si="8"/>
        <v>-0.0000000006268645791</v>
      </c>
      <c r="F325" s="408">
        <f t="shared" si="14"/>
        <v>16306617.46</v>
      </c>
      <c r="G325" s="408">
        <f t="shared" si="15"/>
        <v>30373143.87</v>
      </c>
      <c r="H325" s="410">
        <f t="shared" si="16"/>
        <v>0.0275</v>
      </c>
      <c r="I325" s="1">
        <f t="shared" si="1"/>
        <v>314</v>
      </c>
      <c r="J325" s="406">
        <f t="shared" si="17"/>
        <v>53724</v>
      </c>
      <c r="K325" s="105">
        <f t="shared" si="9"/>
        <v>27</v>
      </c>
      <c r="L325" s="411">
        <f t="shared" si="10"/>
        <v>0</v>
      </c>
      <c r="M325" s="407">
        <f t="shared" si="2"/>
        <v>0</v>
      </c>
      <c r="N325" s="407">
        <f t="shared" si="3"/>
        <v>0</v>
      </c>
      <c r="O325" s="407">
        <f t="shared" si="4"/>
        <v>-0.0000000006268645791</v>
      </c>
      <c r="P325" s="368" t="str">
        <f>IF(AND(K325&gt;K324,K325-2+1='Pro Forma Detail'!D$66),E322,)</f>
        <v/>
      </c>
      <c r="Q325" s="369" t="str">
        <f t="shared" si="11"/>
        <v/>
      </c>
      <c r="R325" s="370">
        <f t="shared" si="12"/>
        <v>0</v>
      </c>
      <c r="S325" s="370">
        <f t="shared" si="13"/>
        <v>0</v>
      </c>
      <c r="T325" s="1"/>
    </row>
    <row r="326" ht="12.75" customHeight="1">
      <c r="A326" s="1">
        <v>315.0</v>
      </c>
      <c r="B326" s="408">
        <f t="shared" si="5"/>
        <v>0</v>
      </c>
      <c r="C326" s="408">
        <f t="shared" si="6"/>
        <v>0</v>
      </c>
      <c r="D326" s="409">
        <f t="shared" si="7"/>
        <v>0</v>
      </c>
      <c r="E326" s="176">
        <f t="shared" si="8"/>
        <v>-0.0000000006139271586</v>
      </c>
      <c r="F326" s="408">
        <f t="shared" si="14"/>
        <v>16306617.46</v>
      </c>
      <c r="G326" s="408">
        <f t="shared" si="15"/>
        <v>30373143.87</v>
      </c>
      <c r="H326" s="410">
        <f t="shared" si="16"/>
        <v>0.0275</v>
      </c>
      <c r="I326" s="1">
        <f t="shared" si="1"/>
        <v>315</v>
      </c>
      <c r="J326" s="406">
        <f t="shared" si="17"/>
        <v>53752</v>
      </c>
      <c r="K326" s="105">
        <f t="shared" si="9"/>
        <v>27</v>
      </c>
      <c r="L326" s="411">
        <f t="shared" si="10"/>
        <v>0</v>
      </c>
      <c r="M326" s="407">
        <f t="shared" si="2"/>
        <v>0</v>
      </c>
      <c r="N326" s="407">
        <f t="shared" si="3"/>
        <v>0</v>
      </c>
      <c r="O326" s="407">
        <f t="shared" si="4"/>
        <v>-0.0000000006139271586</v>
      </c>
      <c r="P326" s="368" t="str">
        <f>IF(AND(K326&gt;K325,K326-2+1='Pro Forma Detail'!D$66),E323,)</f>
        <v/>
      </c>
      <c r="Q326" s="369" t="str">
        <f t="shared" si="11"/>
        <v/>
      </c>
      <c r="R326" s="370">
        <f t="shared" si="12"/>
        <v>0</v>
      </c>
      <c r="S326" s="370">
        <f t="shared" si="13"/>
        <v>0</v>
      </c>
      <c r="T326" s="1"/>
    </row>
    <row r="327" ht="12.75" customHeight="1">
      <c r="A327" s="1">
        <v>316.0</v>
      </c>
      <c r="B327" s="408">
        <f t="shared" si="5"/>
        <v>0</v>
      </c>
      <c r="C327" s="408">
        <f t="shared" si="6"/>
        <v>0</v>
      </c>
      <c r="D327" s="409">
        <f t="shared" si="7"/>
        <v>0</v>
      </c>
      <c r="E327" s="176">
        <f t="shared" si="8"/>
        <v>-0.0000000006009600899</v>
      </c>
      <c r="F327" s="408">
        <f t="shared" si="14"/>
        <v>16306617.46</v>
      </c>
      <c r="G327" s="408">
        <f t="shared" si="15"/>
        <v>30373143.87</v>
      </c>
      <c r="H327" s="410">
        <f t="shared" si="16"/>
        <v>0.0275</v>
      </c>
      <c r="I327" s="1">
        <f t="shared" si="1"/>
        <v>316</v>
      </c>
      <c r="J327" s="406">
        <f t="shared" si="17"/>
        <v>53783</v>
      </c>
      <c r="K327" s="105">
        <f t="shared" si="9"/>
        <v>27</v>
      </c>
      <c r="L327" s="411">
        <f t="shared" si="10"/>
        <v>0</v>
      </c>
      <c r="M327" s="407">
        <f t="shared" si="2"/>
        <v>0</v>
      </c>
      <c r="N327" s="407">
        <f t="shared" si="3"/>
        <v>0</v>
      </c>
      <c r="O327" s="407">
        <f t="shared" si="4"/>
        <v>-0.0000000006009600899</v>
      </c>
      <c r="P327" s="368" t="str">
        <f>IF(AND(K327&gt;K326,K327-2+1='Pro Forma Detail'!D$66),E324,)</f>
        <v/>
      </c>
      <c r="Q327" s="369" t="str">
        <f t="shared" si="11"/>
        <v/>
      </c>
      <c r="R327" s="370">
        <f t="shared" si="12"/>
        <v>0</v>
      </c>
      <c r="S327" s="370">
        <f t="shared" si="13"/>
        <v>0</v>
      </c>
      <c r="T327" s="1"/>
    </row>
    <row r="328" ht="12.75" customHeight="1">
      <c r="A328" s="1">
        <v>317.0</v>
      </c>
      <c r="B328" s="408">
        <f t="shared" si="5"/>
        <v>0</v>
      </c>
      <c r="C328" s="408">
        <f t="shared" si="6"/>
        <v>0</v>
      </c>
      <c r="D328" s="409">
        <f t="shared" si="7"/>
        <v>0</v>
      </c>
      <c r="E328" s="176">
        <f t="shared" si="8"/>
        <v>-0.000000000587963305</v>
      </c>
      <c r="F328" s="408">
        <f t="shared" si="14"/>
        <v>16306617.46</v>
      </c>
      <c r="G328" s="408">
        <f t="shared" si="15"/>
        <v>30373143.87</v>
      </c>
      <c r="H328" s="410">
        <f t="shared" si="16"/>
        <v>0.0275</v>
      </c>
      <c r="I328" s="1">
        <f t="shared" si="1"/>
        <v>317</v>
      </c>
      <c r="J328" s="406">
        <f t="shared" si="17"/>
        <v>53813</v>
      </c>
      <c r="K328" s="105">
        <f t="shared" si="9"/>
        <v>27</v>
      </c>
      <c r="L328" s="411">
        <f t="shared" si="10"/>
        <v>0</v>
      </c>
      <c r="M328" s="407">
        <f t="shared" si="2"/>
        <v>0</v>
      </c>
      <c r="N328" s="407">
        <f t="shared" si="3"/>
        <v>0</v>
      </c>
      <c r="O328" s="407">
        <f t="shared" si="4"/>
        <v>-0.000000000587963305</v>
      </c>
      <c r="P328" s="368" t="str">
        <f>IF(AND(K328&gt;K327,K328-2+1='Pro Forma Detail'!D$66),E325,)</f>
        <v/>
      </c>
      <c r="Q328" s="369" t="str">
        <f t="shared" si="11"/>
        <v/>
      </c>
      <c r="R328" s="370">
        <f t="shared" si="12"/>
        <v>0</v>
      </c>
      <c r="S328" s="370">
        <f t="shared" si="13"/>
        <v>0</v>
      </c>
      <c r="T328" s="1"/>
    </row>
    <row r="329" ht="12.75" customHeight="1">
      <c r="A329" s="1">
        <v>318.0</v>
      </c>
      <c r="B329" s="408">
        <f t="shared" si="5"/>
        <v>0</v>
      </c>
      <c r="C329" s="408">
        <f t="shared" si="6"/>
        <v>0</v>
      </c>
      <c r="D329" s="409">
        <f t="shared" si="7"/>
        <v>0</v>
      </c>
      <c r="E329" s="176">
        <f t="shared" si="8"/>
        <v>-0.0000000005749367358</v>
      </c>
      <c r="F329" s="408">
        <f t="shared" si="14"/>
        <v>16306617.46</v>
      </c>
      <c r="G329" s="408">
        <f t="shared" si="15"/>
        <v>30373143.87</v>
      </c>
      <c r="H329" s="410">
        <f t="shared" si="16"/>
        <v>0.0275</v>
      </c>
      <c r="I329" s="1">
        <f t="shared" si="1"/>
        <v>318</v>
      </c>
      <c r="J329" s="406">
        <f t="shared" si="17"/>
        <v>53844</v>
      </c>
      <c r="K329" s="105">
        <f t="shared" si="9"/>
        <v>27</v>
      </c>
      <c r="L329" s="411">
        <f t="shared" si="10"/>
        <v>0</v>
      </c>
      <c r="M329" s="407">
        <f t="shared" si="2"/>
        <v>0</v>
      </c>
      <c r="N329" s="407">
        <f t="shared" si="3"/>
        <v>0</v>
      </c>
      <c r="O329" s="407">
        <f t="shared" si="4"/>
        <v>-0.0000000005749367358</v>
      </c>
      <c r="P329" s="368" t="str">
        <f>IF(AND(K329&gt;K328,K329-2+1='Pro Forma Detail'!D$66),E326,)</f>
        <v/>
      </c>
      <c r="Q329" s="369" t="str">
        <f t="shared" si="11"/>
        <v/>
      </c>
      <c r="R329" s="370">
        <f t="shared" si="12"/>
        <v>0</v>
      </c>
      <c r="S329" s="370">
        <f t="shared" si="13"/>
        <v>0</v>
      </c>
      <c r="T329" s="1"/>
    </row>
    <row r="330" ht="12.75" customHeight="1">
      <c r="A330" s="1">
        <v>319.0</v>
      </c>
      <c r="B330" s="408">
        <f t="shared" si="5"/>
        <v>0</v>
      </c>
      <c r="C330" s="408">
        <f t="shared" si="6"/>
        <v>0</v>
      </c>
      <c r="D330" s="409">
        <f t="shared" si="7"/>
        <v>0</v>
      </c>
      <c r="E330" s="176">
        <f t="shared" si="8"/>
        <v>-0.000000000561880314</v>
      </c>
      <c r="F330" s="408">
        <f t="shared" si="14"/>
        <v>16306617.46</v>
      </c>
      <c r="G330" s="408">
        <f t="shared" si="15"/>
        <v>30373143.87</v>
      </c>
      <c r="H330" s="410">
        <f t="shared" si="16"/>
        <v>0.0275</v>
      </c>
      <c r="I330" s="1">
        <f t="shared" si="1"/>
        <v>319</v>
      </c>
      <c r="J330" s="406">
        <f t="shared" si="17"/>
        <v>53874</v>
      </c>
      <c r="K330" s="105">
        <f t="shared" si="9"/>
        <v>27</v>
      </c>
      <c r="L330" s="411">
        <f t="shared" si="10"/>
        <v>0</v>
      </c>
      <c r="M330" s="407">
        <f t="shared" si="2"/>
        <v>0</v>
      </c>
      <c r="N330" s="407">
        <f t="shared" si="3"/>
        <v>0</v>
      </c>
      <c r="O330" s="407">
        <f t="shared" si="4"/>
        <v>-0.000000000561880314</v>
      </c>
      <c r="P330" s="368" t="str">
        <f>IF(AND(K330&gt;K329,K330-2+1='Pro Forma Detail'!D$66),E327,)</f>
        <v/>
      </c>
      <c r="Q330" s="369" t="str">
        <f t="shared" si="11"/>
        <v/>
      </c>
      <c r="R330" s="370">
        <f t="shared" si="12"/>
        <v>0</v>
      </c>
      <c r="S330" s="370">
        <f t="shared" si="13"/>
        <v>0</v>
      </c>
      <c r="T330" s="1"/>
    </row>
    <row r="331" ht="12.75" customHeight="1">
      <c r="A331" s="1">
        <v>320.0</v>
      </c>
      <c r="B331" s="408">
        <f t="shared" si="5"/>
        <v>0</v>
      </c>
      <c r="C331" s="408">
        <f t="shared" si="6"/>
        <v>0</v>
      </c>
      <c r="D331" s="409">
        <f t="shared" si="7"/>
        <v>0</v>
      </c>
      <c r="E331" s="176">
        <f t="shared" si="8"/>
        <v>-0.0000000005487939713</v>
      </c>
      <c r="F331" s="408">
        <f t="shared" si="14"/>
        <v>16306617.46</v>
      </c>
      <c r="G331" s="408">
        <f t="shared" si="15"/>
        <v>30373143.87</v>
      </c>
      <c r="H331" s="410">
        <f t="shared" si="16"/>
        <v>0.0275</v>
      </c>
      <c r="I331" s="1">
        <f t="shared" si="1"/>
        <v>320</v>
      </c>
      <c r="J331" s="406">
        <f t="shared" si="17"/>
        <v>53905</v>
      </c>
      <c r="K331" s="105">
        <f t="shared" si="9"/>
        <v>27</v>
      </c>
      <c r="L331" s="411">
        <f t="shared" si="10"/>
        <v>0</v>
      </c>
      <c r="M331" s="407">
        <f t="shared" si="2"/>
        <v>0</v>
      </c>
      <c r="N331" s="407">
        <f t="shared" si="3"/>
        <v>0</v>
      </c>
      <c r="O331" s="407">
        <f t="shared" si="4"/>
        <v>-0.0000000005487939713</v>
      </c>
      <c r="P331" s="368" t="str">
        <f>IF(AND(K331&gt;K330,K331-2+1='Pro Forma Detail'!D$66),E328,)</f>
        <v/>
      </c>
      <c r="Q331" s="369" t="str">
        <f t="shared" si="11"/>
        <v/>
      </c>
      <c r="R331" s="370">
        <f t="shared" si="12"/>
        <v>0</v>
      </c>
      <c r="S331" s="370">
        <f t="shared" si="13"/>
        <v>0</v>
      </c>
      <c r="T331" s="1"/>
    </row>
    <row r="332" ht="12.75" customHeight="1">
      <c r="A332" s="1">
        <v>321.0</v>
      </c>
      <c r="B332" s="408">
        <f t="shared" si="5"/>
        <v>0</v>
      </c>
      <c r="C332" s="408">
        <f t="shared" si="6"/>
        <v>0</v>
      </c>
      <c r="D332" s="409">
        <f t="shared" si="7"/>
        <v>0</v>
      </c>
      <c r="E332" s="176">
        <f t="shared" si="8"/>
        <v>-0.0000000005356776391</v>
      </c>
      <c r="F332" s="408">
        <f t="shared" si="14"/>
        <v>16306617.46</v>
      </c>
      <c r="G332" s="408">
        <f t="shared" si="15"/>
        <v>30373143.87</v>
      </c>
      <c r="H332" s="410">
        <f t="shared" si="16"/>
        <v>0.0275</v>
      </c>
      <c r="I332" s="1">
        <f t="shared" si="1"/>
        <v>321</v>
      </c>
      <c r="J332" s="406">
        <f t="shared" si="17"/>
        <v>53936</v>
      </c>
      <c r="K332" s="105">
        <f t="shared" si="9"/>
        <v>27</v>
      </c>
      <c r="L332" s="411">
        <f t="shared" si="10"/>
        <v>0</v>
      </c>
      <c r="M332" s="407">
        <f t="shared" si="2"/>
        <v>0</v>
      </c>
      <c r="N332" s="407">
        <f t="shared" si="3"/>
        <v>0</v>
      </c>
      <c r="O332" s="407">
        <f t="shared" si="4"/>
        <v>-0.0000000005356776391</v>
      </c>
      <c r="P332" s="368" t="str">
        <f>IF(AND(K332&gt;K331,K332-2+1='Pro Forma Detail'!D$66),E329,)</f>
        <v/>
      </c>
      <c r="Q332" s="369" t="str">
        <f t="shared" si="11"/>
        <v/>
      </c>
      <c r="R332" s="370">
        <f t="shared" si="12"/>
        <v>0</v>
      </c>
      <c r="S332" s="370">
        <f t="shared" si="13"/>
        <v>0</v>
      </c>
      <c r="T332" s="1"/>
    </row>
    <row r="333" ht="12.75" customHeight="1">
      <c r="A333" s="1">
        <v>322.0</v>
      </c>
      <c r="B333" s="408">
        <f t="shared" si="5"/>
        <v>0</v>
      </c>
      <c r="C333" s="408">
        <f t="shared" si="6"/>
        <v>0</v>
      </c>
      <c r="D333" s="409">
        <f t="shared" si="7"/>
        <v>0</v>
      </c>
      <c r="E333" s="176">
        <f t="shared" si="8"/>
        <v>-0.0000000005225312485</v>
      </c>
      <c r="F333" s="408">
        <f t="shared" si="14"/>
        <v>16306617.46</v>
      </c>
      <c r="G333" s="408">
        <f t="shared" si="15"/>
        <v>30373143.87</v>
      </c>
      <c r="H333" s="410">
        <f t="shared" si="16"/>
        <v>0.0275</v>
      </c>
      <c r="I333" s="1">
        <f t="shared" si="1"/>
        <v>322</v>
      </c>
      <c r="J333" s="406">
        <f t="shared" si="17"/>
        <v>53966</v>
      </c>
      <c r="K333" s="105">
        <f t="shared" si="9"/>
        <v>27</v>
      </c>
      <c r="L333" s="411">
        <f t="shared" si="10"/>
        <v>0</v>
      </c>
      <c r="M333" s="407">
        <f t="shared" si="2"/>
        <v>0</v>
      </c>
      <c r="N333" s="407">
        <f t="shared" si="3"/>
        <v>0</v>
      </c>
      <c r="O333" s="407">
        <f t="shared" si="4"/>
        <v>-0.0000000005225312485</v>
      </c>
      <c r="P333" s="368" t="str">
        <f>IF(AND(K333&gt;K332,K333-2+1='Pro Forma Detail'!D$66),E330,)</f>
        <v/>
      </c>
      <c r="Q333" s="369" t="str">
        <f t="shared" si="11"/>
        <v/>
      </c>
      <c r="R333" s="370">
        <f t="shared" si="12"/>
        <v>0</v>
      </c>
      <c r="S333" s="370">
        <f t="shared" si="13"/>
        <v>0</v>
      </c>
      <c r="T333" s="1"/>
    </row>
    <row r="334" ht="12.75" customHeight="1">
      <c r="A334" s="1">
        <v>323.0</v>
      </c>
      <c r="B334" s="408">
        <f t="shared" si="5"/>
        <v>0</v>
      </c>
      <c r="C334" s="408">
        <f t="shared" si="6"/>
        <v>0</v>
      </c>
      <c r="D334" s="409">
        <f t="shared" si="7"/>
        <v>0</v>
      </c>
      <c r="E334" s="176">
        <f t="shared" si="8"/>
        <v>-0.0000000005093547309</v>
      </c>
      <c r="F334" s="408">
        <f t="shared" si="14"/>
        <v>16306617.46</v>
      </c>
      <c r="G334" s="408">
        <f t="shared" si="15"/>
        <v>30373143.87</v>
      </c>
      <c r="H334" s="410">
        <f t="shared" si="16"/>
        <v>0.0275</v>
      </c>
      <c r="I334" s="1">
        <f t="shared" si="1"/>
        <v>323</v>
      </c>
      <c r="J334" s="406">
        <f t="shared" si="17"/>
        <v>53997</v>
      </c>
      <c r="K334" s="105">
        <f t="shared" si="9"/>
        <v>27</v>
      </c>
      <c r="L334" s="411">
        <f t="shared" si="10"/>
        <v>0</v>
      </c>
      <c r="M334" s="407">
        <f t="shared" si="2"/>
        <v>0</v>
      </c>
      <c r="N334" s="407">
        <f t="shared" si="3"/>
        <v>0</v>
      </c>
      <c r="O334" s="407">
        <f t="shared" si="4"/>
        <v>-0.0000000005093547309</v>
      </c>
      <c r="P334" s="368" t="str">
        <f>IF(AND(K334&gt;K333,K334-2+1='Pro Forma Detail'!D$66),E331,)</f>
        <v/>
      </c>
      <c r="Q334" s="369" t="str">
        <f t="shared" si="11"/>
        <v/>
      </c>
      <c r="R334" s="370">
        <f t="shared" si="12"/>
        <v>0</v>
      </c>
      <c r="S334" s="370">
        <f t="shared" si="13"/>
        <v>0</v>
      </c>
      <c r="T334" s="1"/>
    </row>
    <row r="335" ht="12.75" customHeight="1">
      <c r="A335" s="1">
        <v>324.0</v>
      </c>
      <c r="B335" s="408">
        <f t="shared" si="5"/>
        <v>0</v>
      </c>
      <c r="C335" s="408">
        <f t="shared" si="6"/>
        <v>0</v>
      </c>
      <c r="D335" s="409">
        <f t="shared" si="7"/>
        <v>0</v>
      </c>
      <c r="E335" s="176">
        <f t="shared" si="8"/>
        <v>-0.000000000496148017</v>
      </c>
      <c r="F335" s="408">
        <f t="shared" si="14"/>
        <v>16306617.46</v>
      </c>
      <c r="G335" s="408">
        <f t="shared" si="15"/>
        <v>30373143.87</v>
      </c>
      <c r="H335" s="410">
        <f t="shared" si="16"/>
        <v>0.0275</v>
      </c>
      <c r="I335" s="1">
        <f t="shared" si="1"/>
        <v>324</v>
      </c>
      <c r="J335" s="406">
        <f t="shared" si="17"/>
        <v>54027</v>
      </c>
      <c r="K335" s="105">
        <f t="shared" si="9"/>
        <v>27</v>
      </c>
      <c r="L335" s="411">
        <f t="shared" si="10"/>
        <v>0</v>
      </c>
      <c r="M335" s="407">
        <f t="shared" si="2"/>
        <v>0</v>
      </c>
      <c r="N335" s="407">
        <f t="shared" si="3"/>
        <v>0</v>
      </c>
      <c r="O335" s="407">
        <f t="shared" si="4"/>
        <v>-0.000000000496148017</v>
      </c>
      <c r="P335" s="368" t="str">
        <f>IF(AND(K335&gt;K334,K335-2+1='Pro Forma Detail'!D$66),E332,)</f>
        <v/>
      </c>
      <c r="Q335" s="369" t="str">
        <f t="shared" si="11"/>
        <v/>
      </c>
      <c r="R335" s="370">
        <f t="shared" si="12"/>
        <v>0</v>
      </c>
      <c r="S335" s="370">
        <f t="shared" si="13"/>
        <v>0</v>
      </c>
      <c r="T335" s="1"/>
    </row>
    <row r="336" ht="12.75" customHeight="1">
      <c r="A336" s="1">
        <v>325.0</v>
      </c>
      <c r="B336" s="408">
        <f t="shared" si="5"/>
        <v>0</v>
      </c>
      <c r="C336" s="408">
        <f t="shared" si="6"/>
        <v>0</v>
      </c>
      <c r="D336" s="409">
        <f t="shared" si="7"/>
        <v>0</v>
      </c>
      <c r="E336" s="176">
        <f t="shared" si="8"/>
        <v>-0.0000000004829110378</v>
      </c>
      <c r="F336" s="408">
        <f t="shared" si="14"/>
        <v>16306617.46</v>
      </c>
      <c r="G336" s="408">
        <f t="shared" si="15"/>
        <v>30373143.87</v>
      </c>
      <c r="H336" s="410">
        <f t="shared" si="16"/>
        <v>0.0275</v>
      </c>
      <c r="I336" s="1">
        <f t="shared" si="1"/>
        <v>325</v>
      </c>
      <c r="J336" s="406">
        <f t="shared" si="17"/>
        <v>54058</v>
      </c>
      <c r="K336" s="105">
        <f t="shared" si="9"/>
        <v>28</v>
      </c>
      <c r="L336" s="411">
        <f t="shared" si="10"/>
        <v>0</v>
      </c>
      <c r="M336" s="407">
        <f t="shared" si="2"/>
        <v>0</v>
      </c>
      <c r="N336" s="407">
        <f t="shared" si="3"/>
        <v>0</v>
      </c>
      <c r="O336" s="407">
        <f t="shared" si="4"/>
        <v>-0.0000000004829110378</v>
      </c>
      <c r="P336" s="368" t="str">
        <f>IF(AND(K336&gt;K335,K336-2+1='Pro Forma Detail'!D$66),E333,)</f>
        <v/>
      </c>
      <c r="Q336" s="369" t="str">
        <f t="shared" si="11"/>
        <v/>
      </c>
      <c r="R336" s="370">
        <f t="shared" si="12"/>
        <v>0</v>
      </c>
      <c r="S336" s="370">
        <f t="shared" si="13"/>
        <v>0</v>
      </c>
      <c r="T336" s="1"/>
    </row>
    <row r="337" ht="12.75" customHeight="1">
      <c r="A337" s="1">
        <v>326.0</v>
      </c>
      <c r="B337" s="408">
        <f t="shared" si="5"/>
        <v>0</v>
      </c>
      <c r="C337" s="408">
        <f t="shared" si="6"/>
        <v>0</v>
      </c>
      <c r="D337" s="409">
        <f t="shared" si="7"/>
        <v>0</v>
      </c>
      <c r="E337" s="176">
        <f t="shared" si="8"/>
        <v>-0.0000000004696437238</v>
      </c>
      <c r="F337" s="408">
        <f t="shared" si="14"/>
        <v>16306617.46</v>
      </c>
      <c r="G337" s="408">
        <f t="shared" si="15"/>
        <v>30373143.87</v>
      </c>
      <c r="H337" s="410">
        <f t="shared" si="16"/>
        <v>0.0275</v>
      </c>
      <c r="I337" s="1">
        <f t="shared" si="1"/>
        <v>326</v>
      </c>
      <c r="J337" s="406">
        <f t="shared" si="17"/>
        <v>54089</v>
      </c>
      <c r="K337" s="105">
        <f t="shared" si="9"/>
        <v>28</v>
      </c>
      <c r="L337" s="411">
        <f t="shared" si="10"/>
        <v>0</v>
      </c>
      <c r="M337" s="407">
        <f t="shared" si="2"/>
        <v>0</v>
      </c>
      <c r="N337" s="407">
        <f t="shared" si="3"/>
        <v>0</v>
      </c>
      <c r="O337" s="407">
        <f t="shared" si="4"/>
        <v>-0.0000000004696437238</v>
      </c>
      <c r="P337" s="368" t="str">
        <f>IF(AND(K337&gt;K336,K337-2+1='Pro Forma Detail'!D$66),E334,)</f>
        <v/>
      </c>
      <c r="Q337" s="369" t="str">
        <f t="shared" si="11"/>
        <v/>
      </c>
      <c r="R337" s="370">
        <f t="shared" si="12"/>
        <v>0</v>
      </c>
      <c r="S337" s="370">
        <f t="shared" si="13"/>
        <v>0</v>
      </c>
      <c r="T337" s="1"/>
    </row>
    <row r="338" ht="12.75" customHeight="1">
      <c r="A338" s="1">
        <v>327.0</v>
      </c>
      <c r="B338" s="408">
        <f t="shared" si="5"/>
        <v>0</v>
      </c>
      <c r="C338" s="408">
        <f t="shared" si="6"/>
        <v>0</v>
      </c>
      <c r="D338" s="409">
        <f t="shared" si="7"/>
        <v>0</v>
      </c>
      <c r="E338" s="176">
        <f t="shared" si="8"/>
        <v>-0.0000000004563460056</v>
      </c>
      <c r="F338" s="408">
        <f t="shared" si="14"/>
        <v>16306617.46</v>
      </c>
      <c r="G338" s="408">
        <f t="shared" si="15"/>
        <v>30373143.87</v>
      </c>
      <c r="H338" s="410">
        <f t="shared" si="16"/>
        <v>0.0275</v>
      </c>
      <c r="I338" s="1">
        <f t="shared" si="1"/>
        <v>327</v>
      </c>
      <c r="J338" s="406">
        <f t="shared" si="17"/>
        <v>54118</v>
      </c>
      <c r="K338" s="105">
        <f t="shared" si="9"/>
        <v>28</v>
      </c>
      <c r="L338" s="411">
        <f t="shared" si="10"/>
        <v>0</v>
      </c>
      <c r="M338" s="407">
        <f t="shared" si="2"/>
        <v>0</v>
      </c>
      <c r="N338" s="407">
        <f t="shared" si="3"/>
        <v>0</v>
      </c>
      <c r="O338" s="407">
        <f t="shared" si="4"/>
        <v>-0.0000000004563460056</v>
      </c>
      <c r="P338" s="368" t="str">
        <f>IF(AND(K338&gt;K337,K338-2+1='Pro Forma Detail'!D$66),E335,)</f>
        <v/>
      </c>
      <c r="Q338" s="369" t="str">
        <f t="shared" si="11"/>
        <v/>
      </c>
      <c r="R338" s="370">
        <f t="shared" si="12"/>
        <v>0</v>
      </c>
      <c r="S338" s="370">
        <f t="shared" si="13"/>
        <v>0</v>
      </c>
      <c r="T338" s="1"/>
    </row>
    <row r="339" ht="12.75" customHeight="1">
      <c r="A339" s="1">
        <v>328.0</v>
      </c>
      <c r="B339" s="408">
        <f t="shared" si="5"/>
        <v>0</v>
      </c>
      <c r="C339" s="408">
        <f t="shared" si="6"/>
        <v>0</v>
      </c>
      <c r="D339" s="409">
        <f t="shared" si="7"/>
        <v>0</v>
      </c>
      <c r="E339" s="176">
        <f t="shared" si="8"/>
        <v>-0.0000000004430178134</v>
      </c>
      <c r="F339" s="408">
        <f t="shared" si="14"/>
        <v>16306617.46</v>
      </c>
      <c r="G339" s="408">
        <f t="shared" si="15"/>
        <v>30373143.87</v>
      </c>
      <c r="H339" s="410">
        <f t="shared" si="16"/>
        <v>0.0275</v>
      </c>
      <c r="I339" s="1">
        <f t="shared" si="1"/>
        <v>328</v>
      </c>
      <c r="J339" s="406">
        <f t="shared" si="17"/>
        <v>54149</v>
      </c>
      <c r="K339" s="105">
        <f t="shared" si="9"/>
        <v>28</v>
      </c>
      <c r="L339" s="411">
        <f t="shared" si="10"/>
        <v>0</v>
      </c>
      <c r="M339" s="407">
        <f t="shared" si="2"/>
        <v>0</v>
      </c>
      <c r="N339" s="407">
        <f t="shared" si="3"/>
        <v>0</v>
      </c>
      <c r="O339" s="407">
        <f t="shared" si="4"/>
        <v>-0.0000000004430178134</v>
      </c>
      <c r="P339" s="368" t="str">
        <f>IF(AND(K339&gt;K338,K339-2+1='Pro Forma Detail'!D$66),E336,)</f>
        <v/>
      </c>
      <c r="Q339" s="369" t="str">
        <f t="shared" si="11"/>
        <v/>
      </c>
      <c r="R339" s="370">
        <f t="shared" si="12"/>
        <v>0</v>
      </c>
      <c r="S339" s="370">
        <f t="shared" si="13"/>
        <v>0</v>
      </c>
      <c r="T339" s="1"/>
    </row>
    <row r="340" ht="12.75" customHeight="1">
      <c r="A340" s="1">
        <v>329.0</v>
      </c>
      <c r="B340" s="408">
        <f t="shared" si="5"/>
        <v>0</v>
      </c>
      <c r="C340" s="408">
        <f t="shared" si="6"/>
        <v>0</v>
      </c>
      <c r="D340" s="409">
        <f t="shared" si="7"/>
        <v>0</v>
      </c>
      <c r="E340" s="176">
        <f t="shared" si="8"/>
        <v>-0.0000000004296590774</v>
      </c>
      <c r="F340" s="408">
        <f t="shared" si="14"/>
        <v>16306617.46</v>
      </c>
      <c r="G340" s="408">
        <f t="shared" si="15"/>
        <v>30373143.87</v>
      </c>
      <c r="H340" s="410">
        <f t="shared" si="16"/>
        <v>0.0275</v>
      </c>
      <c r="I340" s="1">
        <f t="shared" si="1"/>
        <v>329</v>
      </c>
      <c r="J340" s="406">
        <f t="shared" si="17"/>
        <v>54179</v>
      </c>
      <c r="K340" s="105">
        <f t="shared" si="9"/>
        <v>28</v>
      </c>
      <c r="L340" s="411">
        <f t="shared" si="10"/>
        <v>0</v>
      </c>
      <c r="M340" s="407">
        <f t="shared" si="2"/>
        <v>0</v>
      </c>
      <c r="N340" s="407">
        <f t="shared" si="3"/>
        <v>0</v>
      </c>
      <c r="O340" s="407">
        <f t="shared" si="4"/>
        <v>-0.0000000004296590774</v>
      </c>
      <c r="P340" s="368" t="str">
        <f>IF(AND(K340&gt;K339,K340-2+1='Pro Forma Detail'!D$66),E337,)</f>
        <v/>
      </c>
      <c r="Q340" s="369" t="str">
        <f t="shared" si="11"/>
        <v/>
      </c>
      <c r="R340" s="370">
        <f t="shared" si="12"/>
        <v>0</v>
      </c>
      <c r="S340" s="370">
        <f t="shared" si="13"/>
        <v>0</v>
      </c>
      <c r="T340" s="1"/>
    </row>
    <row r="341" ht="12.75" customHeight="1">
      <c r="A341" s="1">
        <v>330.0</v>
      </c>
      <c r="B341" s="408">
        <f t="shared" si="5"/>
        <v>0</v>
      </c>
      <c r="C341" s="408">
        <f t="shared" si="6"/>
        <v>0</v>
      </c>
      <c r="D341" s="409">
        <f t="shared" si="7"/>
        <v>0</v>
      </c>
      <c r="E341" s="176">
        <f t="shared" si="8"/>
        <v>-0.0000000004162697277</v>
      </c>
      <c r="F341" s="408">
        <f t="shared" si="14"/>
        <v>16306617.46</v>
      </c>
      <c r="G341" s="408">
        <f t="shared" si="15"/>
        <v>30373143.87</v>
      </c>
      <c r="H341" s="410">
        <f t="shared" si="16"/>
        <v>0.0275</v>
      </c>
      <c r="I341" s="1">
        <f t="shared" si="1"/>
        <v>330</v>
      </c>
      <c r="J341" s="406">
        <f t="shared" si="17"/>
        <v>54210</v>
      </c>
      <c r="K341" s="105">
        <f t="shared" si="9"/>
        <v>28</v>
      </c>
      <c r="L341" s="411">
        <f t="shared" si="10"/>
        <v>0</v>
      </c>
      <c r="M341" s="407">
        <f t="shared" si="2"/>
        <v>0</v>
      </c>
      <c r="N341" s="407">
        <f t="shared" si="3"/>
        <v>0</v>
      </c>
      <c r="O341" s="407">
        <f t="shared" si="4"/>
        <v>-0.0000000004162697277</v>
      </c>
      <c r="P341" s="368" t="str">
        <f>IF(AND(K341&gt;K340,K341-2+1='Pro Forma Detail'!D$66),E338,)</f>
        <v/>
      </c>
      <c r="Q341" s="369" t="str">
        <f t="shared" si="11"/>
        <v/>
      </c>
      <c r="R341" s="370">
        <f t="shared" si="12"/>
        <v>0</v>
      </c>
      <c r="S341" s="370">
        <f t="shared" si="13"/>
        <v>0</v>
      </c>
      <c r="T341" s="1"/>
    </row>
    <row r="342" ht="12.75" customHeight="1">
      <c r="A342" s="1">
        <v>331.0</v>
      </c>
      <c r="B342" s="408">
        <f t="shared" si="5"/>
        <v>0</v>
      </c>
      <c r="C342" s="408">
        <f t="shared" si="6"/>
        <v>0</v>
      </c>
      <c r="D342" s="409">
        <f t="shared" si="7"/>
        <v>0</v>
      </c>
      <c r="E342" s="176">
        <f t="shared" si="8"/>
        <v>-0.000000000402849694</v>
      </c>
      <c r="F342" s="408">
        <f t="shared" si="14"/>
        <v>16306617.46</v>
      </c>
      <c r="G342" s="408">
        <f t="shared" si="15"/>
        <v>30373143.87</v>
      </c>
      <c r="H342" s="410">
        <f t="shared" si="16"/>
        <v>0.0275</v>
      </c>
      <c r="I342" s="1">
        <f t="shared" si="1"/>
        <v>331</v>
      </c>
      <c r="J342" s="406">
        <f t="shared" si="17"/>
        <v>54240</v>
      </c>
      <c r="K342" s="105">
        <f t="shared" si="9"/>
        <v>28</v>
      </c>
      <c r="L342" s="411">
        <f t="shared" si="10"/>
        <v>0</v>
      </c>
      <c r="M342" s="407">
        <f t="shared" si="2"/>
        <v>0</v>
      </c>
      <c r="N342" s="407">
        <f t="shared" si="3"/>
        <v>0</v>
      </c>
      <c r="O342" s="407">
        <f t="shared" si="4"/>
        <v>-0.000000000402849694</v>
      </c>
      <c r="P342" s="368" t="str">
        <f>IF(AND(K342&gt;K341,K342-2+1='Pro Forma Detail'!D$66),E339,)</f>
        <v/>
      </c>
      <c r="Q342" s="369" t="str">
        <f t="shared" si="11"/>
        <v/>
      </c>
      <c r="R342" s="370">
        <f t="shared" si="12"/>
        <v>0</v>
      </c>
      <c r="S342" s="370">
        <f t="shared" si="13"/>
        <v>0</v>
      </c>
      <c r="T342" s="1"/>
    </row>
    <row r="343" ht="12.75" customHeight="1">
      <c r="A343" s="1">
        <v>332.0</v>
      </c>
      <c r="B343" s="408">
        <f t="shared" si="5"/>
        <v>0</v>
      </c>
      <c r="C343" s="408">
        <f t="shared" si="6"/>
        <v>0</v>
      </c>
      <c r="D343" s="409">
        <f t="shared" si="7"/>
        <v>0</v>
      </c>
      <c r="E343" s="176">
        <f t="shared" si="8"/>
        <v>-0.0000000003893989062</v>
      </c>
      <c r="F343" s="408">
        <f t="shared" si="14"/>
        <v>16306617.46</v>
      </c>
      <c r="G343" s="408">
        <f t="shared" si="15"/>
        <v>30373143.87</v>
      </c>
      <c r="H343" s="410">
        <f t="shared" si="16"/>
        <v>0.0275</v>
      </c>
      <c r="I343" s="1">
        <f t="shared" si="1"/>
        <v>332</v>
      </c>
      <c r="J343" s="406">
        <f t="shared" si="17"/>
        <v>54271</v>
      </c>
      <c r="K343" s="105">
        <f t="shared" si="9"/>
        <v>28</v>
      </c>
      <c r="L343" s="411">
        <f t="shared" si="10"/>
        <v>0</v>
      </c>
      <c r="M343" s="407">
        <f t="shared" si="2"/>
        <v>0</v>
      </c>
      <c r="N343" s="407">
        <f t="shared" si="3"/>
        <v>0</v>
      </c>
      <c r="O343" s="407">
        <f t="shared" si="4"/>
        <v>-0.0000000003893989062</v>
      </c>
      <c r="P343" s="368" t="str">
        <f>IF(AND(K343&gt;K342,K343-2+1='Pro Forma Detail'!D$66),E340,)</f>
        <v/>
      </c>
      <c r="Q343" s="369" t="str">
        <f t="shared" si="11"/>
        <v/>
      </c>
      <c r="R343" s="370">
        <f t="shared" si="12"/>
        <v>0</v>
      </c>
      <c r="S343" s="370">
        <f t="shared" si="13"/>
        <v>0</v>
      </c>
      <c r="T343" s="1"/>
    </row>
    <row r="344" ht="12.75" customHeight="1">
      <c r="A344" s="1">
        <v>333.0</v>
      </c>
      <c r="B344" s="408">
        <f t="shared" si="5"/>
        <v>0</v>
      </c>
      <c r="C344" s="408">
        <f t="shared" si="6"/>
        <v>0</v>
      </c>
      <c r="D344" s="409">
        <f t="shared" si="7"/>
        <v>0</v>
      </c>
      <c r="E344" s="176">
        <f t="shared" si="8"/>
        <v>-0.0000000003759172935</v>
      </c>
      <c r="F344" s="408">
        <f t="shared" si="14"/>
        <v>16306617.46</v>
      </c>
      <c r="G344" s="408">
        <f t="shared" si="15"/>
        <v>30373143.87</v>
      </c>
      <c r="H344" s="410">
        <f t="shared" si="16"/>
        <v>0.0275</v>
      </c>
      <c r="I344" s="1">
        <f t="shared" si="1"/>
        <v>333</v>
      </c>
      <c r="J344" s="406">
        <f t="shared" si="17"/>
        <v>54302</v>
      </c>
      <c r="K344" s="105">
        <f t="shared" si="9"/>
        <v>28</v>
      </c>
      <c r="L344" s="411">
        <f t="shared" si="10"/>
        <v>0</v>
      </c>
      <c r="M344" s="407">
        <f t="shared" si="2"/>
        <v>0</v>
      </c>
      <c r="N344" s="407">
        <f t="shared" si="3"/>
        <v>0</v>
      </c>
      <c r="O344" s="407">
        <f t="shared" si="4"/>
        <v>-0.0000000003759172935</v>
      </c>
      <c r="P344" s="368" t="str">
        <f>IF(AND(K344&gt;K343,K344-2+1='Pro Forma Detail'!D$66),E341,)</f>
        <v/>
      </c>
      <c r="Q344" s="369" t="str">
        <f t="shared" si="11"/>
        <v/>
      </c>
      <c r="R344" s="370">
        <f t="shared" si="12"/>
        <v>0</v>
      </c>
      <c r="S344" s="370">
        <f t="shared" si="13"/>
        <v>0</v>
      </c>
      <c r="T344" s="1"/>
    </row>
    <row r="345" ht="12.75" customHeight="1">
      <c r="A345" s="1">
        <v>334.0</v>
      </c>
      <c r="B345" s="408">
        <f t="shared" si="5"/>
        <v>0</v>
      </c>
      <c r="C345" s="408">
        <f t="shared" si="6"/>
        <v>0</v>
      </c>
      <c r="D345" s="409">
        <f t="shared" si="7"/>
        <v>0</v>
      </c>
      <c r="E345" s="176">
        <f t="shared" si="8"/>
        <v>-0.0000000003624047856</v>
      </c>
      <c r="F345" s="408">
        <f t="shared" si="14"/>
        <v>16306617.46</v>
      </c>
      <c r="G345" s="408">
        <f t="shared" si="15"/>
        <v>30373143.87</v>
      </c>
      <c r="H345" s="410">
        <f t="shared" si="16"/>
        <v>0.0275</v>
      </c>
      <c r="I345" s="1">
        <f t="shared" si="1"/>
        <v>334</v>
      </c>
      <c r="J345" s="406">
        <f t="shared" si="17"/>
        <v>54332</v>
      </c>
      <c r="K345" s="105">
        <f t="shared" si="9"/>
        <v>28</v>
      </c>
      <c r="L345" s="411">
        <f t="shared" si="10"/>
        <v>0</v>
      </c>
      <c r="M345" s="407">
        <f t="shared" si="2"/>
        <v>0</v>
      </c>
      <c r="N345" s="407">
        <f t="shared" si="3"/>
        <v>0</v>
      </c>
      <c r="O345" s="407">
        <f t="shared" si="4"/>
        <v>-0.0000000003624047856</v>
      </c>
      <c r="P345" s="368" t="str">
        <f>IF(AND(K345&gt;K344,K345-2+1='Pro Forma Detail'!D$66),E342,)</f>
        <v/>
      </c>
      <c r="Q345" s="369" t="str">
        <f t="shared" si="11"/>
        <v/>
      </c>
      <c r="R345" s="370">
        <f t="shared" si="12"/>
        <v>0</v>
      </c>
      <c r="S345" s="370">
        <f t="shared" si="13"/>
        <v>0</v>
      </c>
      <c r="T345" s="1"/>
    </row>
    <row r="346" ht="12.75" customHeight="1">
      <c r="A346" s="1">
        <v>335.0</v>
      </c>
      <c r="B346" s="408">
        <f t="shared" si="5"/>
        <v>0</v>
      </c>
      <c r="C346" s="408">
        <f t="shared" si="6"/>
        <v>0</v>
      </c>
      <c r="D346" s="409">
        <f t="shared" si="7"/>
        <v>0</v>
      </c>
      <c r="E346" s="176">
        <f t="shared" si="8"/>
        <v>-0.0000000003488613114</v>
      </c>
      <c r="F346" s="408">
        <f t="shared" si="14"/>
        <v>16306617.46</v>
      </c>
      <c r="G346" s="408">
        <f t="shared" si="15"/>
        <v>30373143.87</v>
      </c>
      <c r="H346" s="410">
        <f t="shared" si="16"/>
        <v>0.0275</v>
      </c>
      <c r="I346" s="1">
        <f t="shared" si="1"/>
        <v>335</v>
      </c>
      <c r="J346" s="406">
        <f t="shared" si="17"/>
        <v>54363</v>
      </c>
      <c r="K346" s="105">
        <f t="shared" si="9"/>
        <v>28</v>
      </c>
      <c r="L346" s="411">
        <f t="shared" si="10"/>
        <v>0</v>
      </c>
      <c r="M346" s="407">
        <f t="shared" si="2"/>
        <v>0</v>
      </c>
      <c r="N346" s="407">
        <f t="shared" si="3"/>
        <v>0</v>
      </c>
      <c r="O346" s="407">
        <f t="shared" si="4"/>
        <v>-0.0000000003488613114</v>
      </c>
      <c r="P346" s="368" t="str">
        <f>IF(AND(K346&gt;K345,K346-2+1='Pro Forma Detail'!D$66),E343,)</f>
        <v/>
      </c>
      <c r="Q346" s="369" t="str">
        <f t="shared" si="11"/>
        <v/>
      </c>
      <c r="R346" s="370">
        <f t="shared" si="12"/>
        <v>0</v>
      </c>
      <c r="S346" s="370">
        <f t="shared" si="13"/>
        <v>0</v>
      </c>
      <c r="T346" s="1"/>
    </row>
    <row r="347" ht="12.75" customHeight="1">
      <c r="A347" s="1">
        <v>336.0</v>
      </c>
      <c r="B347" s="408">
        <f t="shared" si="5"/>
        <v>0</v>
      </c>
      <c r="C347" s="408">
        <f t="shared" si="6"/>
        <v>0</v>
      </c>
      <c r="D347" s="409">
        <f t="shared" si="7"/>
        <v>0</v>
      </c>
      <c r="E347" s="176">
        <f t="shared" si="8"/>
        <v>-0.0000000003352868001</v>
      </c>
      <c r="F347" s="408">
        <f t="shared" si="14"/>
        <v>16306617.46</v>
      </c>
      <c r="G347" s="408">
        <f t="shared" si="15"/>
        <v>30373143.87</v>
      </c>
      <c r="H347" s="410">
        <f t="shared" si="16"/>
        <v>0.0275</v>
      </c>
      <c r="I347" s="1">
        <f t="shared" si="1"/>
        <v>336</v>
      </c>
      <c r="J347" s="406">
        <f t="shared" si="17"/>
        <v>54393</v>
      </c>
      <c r="K347" s="105">
        <f t="shared" si="9"/>
        <v>28</v>
      </c>
      <c r="L347" s="411">
        <f t="shared" si="10"/>
        <v>0</v>
      </c>
      <c r="M347" s="407">
        <f t="shared" si="2"/>
        <v>0</v>
      </c>
      <c r="N347" s="407">
        <f t="shared" si="3"/>
        <v>0</v>
      </c>
      <c r="O347" s="407">
        <f t="shared" si="4"/>
        <v>-0.0000000003352868001</v>
      </c>
      <c r="P347" s="368" t="str">
        <f>IF(AND(K347&gt;K346,K347-2+1='Pro Forma Detail'!D$66),E344,)</f>
        <v/>
      </c>
      <c r="Q347" s="369" t="str">
        <f t="shared" si="11"/>
        <v/>
      </c>
      <c r="R347" s="370">
        <f t="shared" si="12"/>
        <v>0</v>
      </c>
      <c r="S347" s="370">
        <f t="shared" si="13"/>
        <v>0</v>
      </c>
      <c r="T347" s="1"/>
    </row>
    <row r="348" ht="12.75" customHeight="1">
      <c r="A348" s="1">
        <v>337.0</v>
      </c>
      <c r="B348" s="408">
        <f t="shared" si="5"/>
        <v>0</v>
      </c>
      <c r="C348" s="408">
        <f t="shared" si="6"/>
        <v>0</v>
      </c>
      <c r="D348" s="409">
        <f t="shared" si="7"/>
        <v>0</v>
      </c>
      <c r="E348" s="176">
        <f t="shared" si="8"/>
        <v>-0.0000000003216811806</v>
      </c>
      <c r="F348" s="408">
        <f t="shared" si="14"/>
        <v>16306617.46</v>
      </c>
      <c r="G348" s="408">
        <f t="shared" si="15"/>
        <v>30373143.87</v>
      </c>
      <c r="H348" s="410">
        <f t="shared" si="16"/>
        <v>0.0275</v>
      </c>
      <c r="I348" s="1">
        <f t="shared" si="1"/>
        <v>337</v>
      </c>
      <c r="J348" s="406">
        <f t="shared" si="17"/>
        <v>54424</v>
      </c>
      <c r="K348" s="105">
        <f t="shared" si="9"/>
        <v>29</v>
      </c>
      <c r="L348" s="411">
        <f t="shared" si="10"/>
        <v>0</v>
      </c>
      <c r="M348" s="407">
        <f t="shared" si="2"/>
        <v>0</v>
      </c>
      <c r="N348" s="407">
        <f t="shared" si="3"/>
        <v>0</v>
      </c>
      <c r="O348" s="407">
        <f t="shared" si="4"/>
        <v>-0.0000000003216811806</v>
      </c>
      <c r="P348" s="368" t="str">
        <f>IF(AND(K348&gt;K347,K348-2+1='Pro Forma Detail'!D$66),E345,)</f>
        <v/>
      </c>
      <c r="Q348" s="369" t="str">
        <f t="shared" si="11"/>
        <v/>
      </c>
      <c r="R348" s="370">
        <f t="shared" si="12"/>
        <v>0</v>
      </c>
      <c r="S348" s="370">
        <f t="shared" si="13"/>
        <v>0</v>
      </c>
      <c r="T348" s="1"/>
    </row>
    <row r="349" ht="12.75" customHeight="1">
      <c r="A349" s="1">
        <v>338.0</v>
      </c>
      <c r="B349" s="408">
        <f t="shared" si="5"/>
        <v>0</v>
      </c>
      <c r="C349" s="408">
        <f t="shared" si="6"/>
        <v>0</v>
      </c>
      <c r="D349" s="409">
        <f t="shared" si="7"/>
        <v>0</v>
      </c>
      <c r="E349" s="176">
        <f t="shared" si="8"/>
        <v>-0.0000000003080443815</v>
      </c>
      <c r="F349" s="408">
        <f t="shared" si="14"/>
        <v>16306617.46</v>
      </c>
      <c r="G349" s="408">
        <f t="shared" si="15"/>
        <v>30373143.87</v>
      </c>
      <c r="H349" s="410">
        <f t="shared" si="16"/>
        <v>0.0275</v>
      </c>
      <c r="I349" s="1">
        <f t="shared" si="1"/>
        <v>338</v>
      </c>
      <c r="J349" s="406">
        <f t="shared" si="17"/>
        <v>54455</v>
      </c>
      <c r="K349" s="105">
        <f t="shared" si="9"/>
        <v>29</v>
      </c>
      <c r="L349" s="411">
        <f t="shared" si="10"/>
        <v>0</v>
      </c>
      <c r="M349" s="407">
        <f t="shared" si="2"/>
        <v>0</v>
      </c>
      <c r="N349" s="407">
        <f t="shared" si="3"/>
        <v>0</v>
      </c>
      <c r="O349" s="407">
        <f t="shared" si="4"/>
        <v>-0.0000000003080443815</v>
      </c>
      <c r="P349" s="368" t="str">
        <f>IF(AND(K349&gt;K348,K349-2+1='Pro Forma Detail'!D$66),E346,)</f>
        <v/>
      </c>
      <c r="Q349" s="369" t="str">
        <f t="shared" si="11"/>
        <v/>
      </c>
      <c r="R349" s="370">
        <f t="shared" si="12"/>
        <v>0</v>
      </c>
      <c r="S349" s="370">
        <f t="shared" si="13"/>
        <v>0</v>
      </c>
      <c r="T349" s="1"/>
    </row>
    <row r="350" ht="12.75" customHeight="1">
      <c r="A350" s="1">
        <v>339.0</v>
      </c>
      <c r="B350" s="408">
        <f t="shared" si="5"/>
        <v>0</v>
      </c>
      <c r="C350" s="408">
        <f t="shared" si="6"/>
        <v>0</v>
      </c>
      <c r="D350" s="409">
        <f t="shared" si="7"/>
        <v>0</v>
      </c>
      <c r="E350" s="176">
        <f t="shared" si="8"/>
        <v>-0.0000000002943763315</v>
      </c>
      <c r="F350" s="408">
        <f t="shared" si="14"/>
        <v>16306617.46</v>
      </c>
      <c r="G350" s="408">
        <f t="shared" si="15"/>
        <v>30373143.87</v>
      </c>
      <c r="H350" s="410">
        <f t="shared" si="16"/>
        <v>0.0275</v>
      </c>
      <c r="I350" s="1">
        <f t="shared" si="1"/>
        <v>339</v>
      </c>
      <c r="J350" s="406">
        <f t="shared" si="17"/>
        <v>54483</v>
      </c>
      <c r="K350" s="105">
        <f t="shared" si="9"/>
        <v>29</v>
      </c>
      <c r="L350" s="411">
        <f t="shared" si="10"/>
        <v>0</v>
      </c>
      <c r="M350" s="407">
        <f t="shared" si="2"/>
        <v>0</v>
      </c>
      <c r="N350" s="407">
        <f t="shared" si="3"/>
        <v>0</v>
      </c>
      <c r="O350" s="407">
        <f t="shared" si="4"/>
        <v>-0.0000000002943763315</v>
      </c>
      <c r="P350" s="368" t="str">
        <f>IF(AND(K350&gt;K349,K350-2+1='Pro Forma Detail'!D$66),E347,)</f>
        <v/>
      </c>
      <c r="Q350" s="369" t="str">
        <f t="shared" si="11"/>
        <v/>
      </c>
      <c r="R350" s="370">
        <f t="shared" si="12"/>
        <v>0</v>
      </c>
      <c r="S350" s="370">
        <f t="shared" si="13"/>
        <v>0</v>
      </c>
      <c r="T350" s="1"/>
    </row>
    <row r="351" ht="12.75" customHeight="1">
      <c r="A351" s="1">
        <v>340.0</v>
      </c>
      <c r="B351" s="408">
        <f t="shared" si="5"/>
        <v>0</v>
      </c>
      <c r="C351" s="408">
        <f t="shared" si="6"/>
        <v>0</v>
      </c>
      <c r="D351" s="409">
        <f t="shared" si="7"/>
        <v>0</v>
      </c>
      <c r="E351" s="176">
        <f t="shared" si="8"/>
        <v>-0.0000000002806769588</v>
      </c>
      <c r="F351" s="408">
        <f t="shared" si="14"/>
        <v>16306617.46</v>
      </c>
      <c r="G351" s="408">
        <f t="shared" si="15"/>
        <v>30373143.87</v>
      </c>
      <c r="H351" s="410">
        <f t="shared" si="16"/>
        <v>0.0275</v>
      </c>
      <c r="I351" s="1">
        <f t="shared" si="1"/>
        <v>340</v>
      </c>
      <c r="J351" s="406">
        <f t="shared" si="17"/>
        <v>54514</v>
      </c>
      <c r="K351" s="105">
        <f t="shared" si="9"/>
        <v>29</v>
      </c>
      <c r="L351" s="411">
        <f t="shared" si="10"/>
        <v>0</v>
      </c>
      <c r="M351" s="407">
        <f t="shared" si="2"/>
        <v>0</v>
      </c>
      <c r="N351" s="407">
        <f t="shared" si="3"/>
        <v>0</v>
      </c>
      <c r="O351" s="407">
        <f t="shared" si="4"/>
        <v>-0.0000000002806769588</v>
      </c>
      <c r="P351" s="368" t="str">
        <f>IF(AND(K351&gt;K350,K351-2+1='Pro Forma Detail'!D$66),E348,)</f>
        <v/>
      </c>
      <c r="Q351" s="369" t="str">
        <f t="shared" si="11"/>
        <v/>
      </c>
      <c r="R351" s="370">
        <f t="shared" si="12"/>
        <v>0</v>
      </c>
      <c r="S351" s="370">
        <f t="shared" si="13"/>
        <v>0</v>
      </c>
      <c r="T351" s="1"/>
    </row>
    <row r="352" ht="12.75" customHeight="1">
      <c r="A352" s="1">
        <v>341.0</v>
      </c>
      <c r="B352" s="408">
        <f t="shared" si="5"/>
        <v>0</v>
      </c>
      <c r="C352" s="408">
        <f t="shared" si="6"/>
        <v>0</v>
      </c>
      <c r="D352" s="409">
        <f t="shared" si="7"/>
        <v>0</v>
      </c>
      <c r="E352" s="176">
        <f t="shared" si="8"/>
        <v>-0.0000000002669461917</v>
      </c>
      <c r="F352" s="408">
        <f t="shared" si="14"/>
        <v>16306617.46</v>
      </c>
      <c r="G352" s="408">
        <f t="shared" si="15"/>
        <v>30373143.87</v>
      </c>
      <c r="H352" s="410">
        <f t="shared" si="16"/>
        <v>0.0275</v>
      </c>
      <c r="I352" s="1">
        <f t="shared" si="1"/>
        <v>341</v>
      </c>
      <c r="J352" s="406">
        <f t="shared" si="17"/>
        <v>54544</v>
      </c>
      <c r="K352" s="105">
        <f t="shared" si="9"/>
        <v>29</v>
      </c>
      <c r="L352" s="411">
        <f t="shared" si="10"/>
        <v>0</v>
      </c>
      <c r="M352" s="407">
        <f t="shared" si="2"/>
        <v>0</v>
      </c>
      <c r="N352" s="407">
        <f t="shared" si="3"/>
        <v>0</v>
      </c>
      <c r="O352" s="407">
        <f t="shared" si="4"/>
        <v>-0.0000000002669461917</v>
      </c>
      <c r="P352" s="368" t="str">
        <f>IF(AND(K352&gt;K351,K352-2+1='Pro Forma Detail'!D$66),E349,)</f>
        <v/>
      </c>
      <c r="Q352" s="369" t="str">
        <f t="shared" si="11"/>
        <v/>
      </c>
      <c r="R352" s="370">
        <f t="shared" si="12"/>
        <v>0</v>
      </c>
      <c r="S352" s="370">
        <f t="shared" si="13"/>
        <v>0</v>
      </c>
      <c r="T352" s="1"/>
    </row>
    <row r="353" ht="12.75" customHeight="1">
      <c r="A353" s="1">
        <v>342.0</v>
      </c>
      <c r="B353" s="408">
        <f t="shared" si="5"/>
        <v>0</v>
      </c>
      <c r="C353" s="408">
        <f t="shared" si="6"/>
        <v>0</v>
      </c>
      <c r="D353" s="409">
        <f t="shared" si="7"/>
        <v>0</v>
      </c>
      <c r="E353" s="176">
        <f t="shared" si="8"/>
        <v>-0.0000000002531839583</v>
      </c>
      <c r="F353" s="408">
        <f t="shared" si="14"/>
        <v>16306617.46</v>
      </c>
      <c r="G353" s="408">
        <f t="shared" si="15"/>
        <v>30373143.87</v>
      </c>
      <c r="H353" s="410">
        <f t="shared" si="16"/>
        <v>0.0275</v>
      </c>
      <c r="I353" s="1">
        <f t="shared" si="1"/>
        <v>342</v>
      </c>
      <c r="J353" s="406">
        <f t="shared" si="17"/>
        <v>54575</v>
      </c>
      <c r="K353" s="105">
        <f t="shared" si="9"/>
        <v>29</v>
      </c>
      <c r="L353" s="411">
        <f t="shared" si="10"/>
        <v>0</v>
      </c>
      <c r="M353" s="407">
        <f t="shared" si="2"/>
        <v>0</v>
      </c>
      <c r="N353" s="407">
        <f t="shared" si="3"/>
        <v>0</v>
      </c>
      <c r="O353" s="407">
        <f t="shared" si="4"/>
        <v>-0.0000000002531839583</v>
      </c>
      <c r="P353" s="368" t="str">
        <f>IF(AND(K353&gt;K352,K353-2+1='Pro Forma Detail'!D$66),E350,)</f>
        <v/>
      </c>
      <c r="Q353" s="369" t="str">
        <f t="shared" si="11"/>
        <v/>
      </c>
      <c r="R353" s="370">
        <f t="shared" si="12"/>
        <v>0</v>
      </c>
      <c r="S353" s="370">
        <f t="shared" si="13"/>
        <v>0</v>
      </c>
      <c r="T353" s="1"/>
    </row>
    <row r="354" ht="12.75" customHeight="1">
      <c r="A354" s="1">
        <v>343.0</v>
      </c>
      <c r="B354" s="408">
        <f t="shared" si="5"/>
        <v>0</v>
      </c>
      <c r="C354" s="408">
        <f t="shared" si="6"/>
        <v>0</v>
      </c>
      <c r="D354" s="409">
        <f t="shared" si="7"/>
        <v>0</v>
      </c>
      <c r="E354" s="176">
        <f t="shared" si="8"/>
        <v>-0.0000000002393901864</v>
      </c>
      <c r="F354" s="408">
        <f t="shared" si="14"/>
        <v>16306617.46</v>
      </c>
      <c r="G354" s="408">
        <f t="shared" si="15"/>
        <v>30373143.87</v>
      </c>
      <c r="H354" s="410">
        <f t="shared" si="16"/>
        <v>0.0275</v>
      </c>
      <c r="I354" s="1">
        <f t="shared" si="1"/>
        <v>343</v>
      </c>
      <c r="J354" s="406">
        <f t="shared" si="17"/>
        <v>54605</v>
      </c>
      <c r="K354" s="105">
        <f t="shared" si="9"/>
        <v>29</v>
      </c>
      <c r="L354" s="411">
        <f t="shared" si="10"/>
        <v>0</v>
      </c>
      <c r="M354" s="407">
        <f t="shared" si="2"/>
        <v>0</v>
      </c>
      <c r="N354" s="407">
        <f t="shared" si="3"/>
        <v>0</v>
      </c>
      <c r="O354" s="407">
        <f t="shared" si="4"/>
        <v>-0.0000000002393901864</v>
      </c>
      <c r="P354" s="368" t="str">
        <f>IF(AND(K354&gt;K353,K354-2+1='Pro Forma Detail'!D$66),E351,)</f>
        <v/>
      </c>
      <c r="Q354" s="369" t="str">
        <f t="shared" si="11"/>
        <v/>
      </c>
      <c r="R354" s="370">
        <f t="shared" si="12"/>
        <v>0</v>
      </c>
      <c r="S354" s="370">
        <f t="shared" si="13"/>
        <v>0</v>
      </c>
      <c r="T354" s="1"/>
    </row>
    <row r="355" ht="12.75" customHeight="1">
      <c r="A355" s="1">
        <v>344.0</v>
      </c>
      <c r="B355" s="408">
        <f t="shared" si="5"/>
        <v>0</v>
      </c>
      <c r="C355" s="408">
        <f t="shared" si="6"/>
        <v>0</v>
      </c>
      <c r="D355" s="409">
        <f t="shared" si="7"/>
        <v>0</v>
      </c>
      <c r="E355" s="176">
        <f t="shared" si="8"/>
        <v>-0.0000000002255648038</v>
      </c>
      <c r="F355" s="408">
        <f t="shared" si="14"/>
        <v>16306617.46</v>
      </c>
      <c r="G355" s="408">
        <f t="shared" si="15"/>
        <v>30373143.87</v>
      </c>
      <c r="H355" s="410">
        <f t="shared" si="16"/>
        <v>0.0275</v>
      </c>
      <c r="I355" s="1">
        <f t="shared" si="1"/>
        <v>344</v>
      </c>
      <c r="J355" s="406">
        <f t="shared" si="17"/>
        <v>54636</v>
      </c>
      <c r="K355" s="105">
        <f t="shared" si="9"/>
        <v>29</v>
      </c>
      <c r="L355" s="411">
        <f t="shared" si="10"/>
        <v>0</v>
      </c>
      <c r="M355" s="407">
        <f t="shared" si="2"/>
        <v>0</v>
      </c>
      <c r="N355" s="407">
        <f t="shared" si="3"/>
        <v>0</v>
      </c>
      <c r="O355" s="407">
        <f t="shared" si="4"/>
        <v>-0.0000000002255648038</v>
      </c>
      <c r="P355" s="368" t="str">
        <f>IF(AND(K355&gt;K354,K355-2+1='Pro Forma Detail'!D$66),E352,)</f>
        <v/>
      </c>
      <c r="Q355" s="369" t="str">
        <f t="shared" si="11"/>
        <v/>
      </c>
      <c r="R355" s="370">
        <f t="shared" si="12"/>
        <v>0</v>
      </c>
      <c r="S355" s="370">
        <f t="shared" si="13"/>
        <v>0</v>
      </c>
      <c r="T355" s="1"/>
    </row>
    <row r="356" ht="12.75" customHeight="1">
      <c r="A356" s="1">
        <v>345.0</v>
      </c>
      <c r="B356" s="408">
        <f t="shared" si="5"/>
        <v>0</v>
      </c>
      <c r="C356" s="408">
        <f t="shared" si="6"/>
        <v>0</v>
      </c>
      <c r="D356" s="409">
        <f t="shared" si="7"/>
        <v>0</v>
      </c>
      <c r="E356" s="176">
        <f t="shared" si="8"/>
        <v>-0.0000000002117077381</v>
      </c>
      <c r="F356" s="408">
        <f t="shared" si="14"/>
        <v>16306617.46</v>
      </c>
      <c r="G356" s="408">
        <f t="shared" si="15"/>
        <v>30373143.87</v>
      </c>
      <c r="H356" s="410">
        <f t="shared" si="16"/>
        <v>0.0275</v>
      </c>
      <c r="I356" s="1">
        <f t="shared" si="1"/>
        <v>345</v>
      </c>
      <c r="J356" s="406">
        <f t="shared" si="17"/>
        <v>54667</v>
      </c>
      <c r="K356" s="105">
        <f t="shared" si="9"/>
        <v>29</v>
      </c>
      <c r="L356" s="411">
        <f t="shared" si="10"/>
        <v>0</v>
      </c>
      <c r="M356" s="407">
        <f t="shared" si="2"/>
        <v>0</v>
      </c>
      <c r="N356" s="407">
        <f t="shared" si="3"/>
        <v>0</v>
      </c>
      <c r="O356" s="407">
        <f t="shared" si="4"/>
        <v>-0.0000000002117077381</v>
      </c>
      <c r="P356" s="368" t="str">
        <f>IF(AND(K356&gt;K355,K356-2+1='Pro Forma Detail'!D$66),E353,)</f>
        <v/>
      </c>
      <c r="Q356" s="369" t="str">
        <f t="shared" si="11"/>
        <v/>
      </c>
      <c r="R356" s="370">
        <f t="shared" si="12"/>
        <v>0</v>
      </c>
      <c r="S356" s="370">
        <f t="shared" si="13"/>
        <v>0</v>
      </c>
      <c r="T356" s="1"/>
    </row>
    <row r="357" ht="12.75" customHeight="1">
      <c r="A357" s="1">
        <v>346.0</v>
      </c>
      <c r="B357" s="408">
        <f t="shared" si="5"/>
        <v>0</v>
      </c>
      <c r="C357" s="408">
        <f t="shared" si="6"/>
        <v>0</v>
      </c>
      <c r="D357" s="409">
        <f t="shared" si="7"/>
        <v>0</v>
      </c>
      <c r="E357" s="176">
        <f t="shared" si="8"/>
        <v>-0.0000000001978189165</v>
      </c>
      <c r="F357" s="408">
        <f t="shared" si="14"/>
        <v>16306617.46</v>
      </c>
      <c r="G357" s="408">
        <f t="shared" si="15"/>
        <v>30373143.87</v>
      </c>
      <c r="H357" s="410">
        <f t="shared" si="16"/>
        <v>0.0275</v>
      </c>
      <c r="I357" s="1">
        <f t="shared" si="1"/>
        <v>346</v>
      </c>
      <c r="J357" s="406">
        <f t="shared" si="17"/>
        <v>54697</v>
      </c>
      <c r="K357" s="105">
        <f t="shared" si="9"/>
        <v>29</v>
      </c>
      <c r="L357" s="411">
        <f t="shared" si="10"/>
        <v>0</v>
      </c>
      <c r="M357" s="407">
        <f t="shared" si="2"/>
        <v>0</v>
      </c>
      <c r="N357" s="407">
        <f t="shared" si="3"/>
        <v>0</v>
      </c>
      <c r="O357" s="407">
        <f t="shared" si="4"/>
        <v>-0.0000000001978189165</v>
      </c>
      <c r="P357" s="368" t="str">
        <f>IF(AND(K357&gt;K356,K357-2+1='Pro Forma Detail'!D$66),E354,)</f>
        <v/>
      </c>
      <c r="Q357" s="369" t="str">
        <f t="shared" si="11"/>
        <v/>
      </c>
      <c r="R357" s="370">
        <f t="shared" si="12"/>
        <v>0</v>
      </c>
      <c r="S357" s="370">
        <f t="shared" si="13"/>
        <v>0</v>
      </c>
      <c r="T357" s="1"/>
    </row>
    <row r="358" ht="12.75" customHeight="1">
      <c r="A358" s="1">
        <v>347.0</v>
      </c>
      <c r="B358" s="408">
        <f t="shared" si="5"/>
        <v>0</v>
      </c>
      <c r="C358" s="408">
        <f t="shared" si="6"/>
        <v>0</v>
      </c>
      <c r="D358" s="409">
        <f t="shared" si="7"/>
        <v>0</v>
      </c>
      <c r="E358" s="176">
        <f t="shared" si="8"/>
        <v>-0.0000000001838982664</v>
      </c>
      <c r="F358" s="408">
        <f t="shared" si="14"/>
        <v>16306617.46</v>
      </c>
      <c r="G358" s="408">
        <f t="shared" si="15"/>
        <v>30373143.87</v>
      </c>
      <c r="H358" s="410">
        <f t="shared" si="16"/>
        <v>0.0275</v>
      </c>
      <c r="I358" s="1">
        <f t="shared" si="1"/>
        <v>347</v>
      </c>
      <c r="J358" s="406">
        <f t="shared" si="17"/>
        <v>54728</v>
      </c>
      <c r="K358" s="105">
        <f t="shared" si="9"/>
        <v>29</v>
      </c>
      <c r="L358" s="411">
        <f t="shared" si="10"/>
        <v>0</v>
      </c>
      <c r="M358" s="407">
        <f t="shared" si="2"/>
        <v>0</v>
      </c>
      <c r="N358" s="407">
        <f t="shared" si="3"/>
        <v>0</v>
      </c>
      <c r="O358" s="407">
        <f t="shared" si="4"/>
        <v>-0.0000000001838982664</v>
      </c>
      <c r="P358" s="368" t="str">
        <f>IF(AND(K358&gt;K357,K358-2+1='Pro Forma Detail'!D$66),E355,)</f>
        <v/>
      </c>
      <c r="Q358" s="369" t="str">
        <f t="shared" si="11"/>
        <v/>
      </c>
      <c r="R358" s="370">
        <f t="shared" si="12"/>
        <v>0</v>
      </c>
      <c r="S358" s="370">
        <f t="shared" si="13"/>
        <v>0</v>
      </c>
      <c r="T358" s="1"/>
    </row>
    <row r="359" ht="12.75" customHeight="1">
      <c r="A359" s="1">
        <v>348.0</v>
      </c>
      <c r="B359" s="408">
        <f t="shared" si="5"/>
        <v>0</v>
      </c>
      <c r="C359" s="408">
        <f t="shared" si="6"/>
        <v>0</v>
      </c>
      <c r="D359" s="409">
        <f t="shared" si="7"/>
        <v>0</v>
      </c>
      <c r="E359" s="176">
        <f t="shared" si="8"/>
        <v>-0.0000000001699457148</v>
      </c>
      <c r="F359" s="408">
        <f t="shared" si="14"/>
        <v>16306617.46</v>
      </c>
      <c r="G359" s="408">
        <f t="shared" si="15"/>
        <v>30373143.87</v>
      </c>
      <c r="H359" s="410">
        <f t="shared" si="16"/>
        <v>0.0275</v>
      </c>
      <c r="I359" s="1">
        <f t="shared" si="1"/>
        <v>348</v>
      </c>
      <c r="J359" s="406">
        <f t="shared" si="17"/>
        <v>54758</v>
      </c>
      <c r="K359" s="105">
        <f t="shared" si="9"/>
        <v>29</v>
      </c>
      <c r="L359" s="411">
        <f t="shared" si="10"/>
        <v>0</v>
      </c>
      <c r="M359" s="407">
        <f t="shared" si="2"/>
        <v>0</v>
      </c>
      <c r="N359" s="407">
        <f t="shared" si="3"/>
        <v>0</v>
      </c>
      <c r="O359" s="407">
        <f t="shared" si="4"/>
        <v>-0.0000000001699457148</v>
      </c>
      <c r="P359" s="368" t="str">
        <f>IF(AND(K359&gt;K358,K359-2+1='Pro Forma Detail'!D$66),E356,)</f>
        <v/>
      </c>
      <c r="Q359" s="369" t="str">
        <f t="shared" si="11"/>
        <v/>
      </c>
      <c r="R359" s="370">
        <f t="shared" si="12"/>
        <v>0</v>
      </c>
      <c r="S359" s="370">
        <f t="shared" si="13"/>
        <v>0</v>
      </c>
      <c r="T359" s="1"/>
    </row>
    <row r="360" ht="12.75" customHeight="1">
      <c r="A360" s="1">
        <v>349.0</v>
      </c>
      <c r="B360" s="408">
        <f t="shared" si="5"/>
        <v>0</v>
      </c>
      <c r="C360" s="408">
        <f t="shared" si="6"/>
        <v>0</v>
      </c>
      <c r="D360" s="409">
        <f t="shared" si="7"/>
        <v>0</v>
      </c>
      <c r="E360" s="176">
        <f t="shared" si="8"/>
        <v>-0.0000000001559611887</v>
      </c>
      <c r="F360" s="408">
        <f t="shared" si="14"/>
        <v>16306617.46</v>
      </c>
      <c r="G360" s="408">
        <f t="shared" si="15"/>
        <v>30373143.87</v>
      </c>
      <c r="H360" s="410">
        <f t="shared" si="16"/>
        <v>0.0275</v>
      </c>
      <c r="I360" s="1">
        <f t="shared" si="1"/>
        <v>349</v>
      </c>
      <c r="J360" s="406">
        <f t="shared" si="17"/>
        <v>54789</v>
      </c>
      <c r="K360" s="105">
        <f t="shared" si="9"/>
        <v>30</v>
      </c>
      <c r="L360" s="411">
        <f t="shared" si="10"/>
        <v>0</v>
      </c>
      <c r="M360" s="407">
        <f t="shared" si="2"/>
        <v>0</v>
      </c>
      <c r="N360" s="407">
        <f t="shared" si="3"/>
        <v>0</v>
      </c>
      <c r="O360" s="407">
        <f t="shared" si="4"/>
        <v>-0.0000000001559611887</v>
      </c>
      <c r="P360" s="368" t="str">
        <f>IF(AND(K360&gt;K359,K360-2+1='Pro Forma Detail'!D$66),E357,)</f>
        <v/>
      </c>
      <c r="Q360" s="369" t="str">
        <f t="shared" si="11"/>
        <v/>
      </c>
      <c r="R360" s="370">
        <f t="shared" si="12"/>
        <v>0</v>
      </c>
      <c r="S360" s="370">
        <f t="shared" si="13"/>
        <v>0</v>
      </c>
      <c r="T360" s="1"/>
    </row>
    <row r="361" ht="12.75" customHeight="1">
      <c r="A361" s="1">
        <v>350.0</v>
      </c>
      <c r="B361" s="408">
        <f t="shared" si="5"/>
        <v>0</v>
      </c>
      <c r="C361" s="408">
        <f t="shared" si="6"/>
        <v>0</v>
      </c>
      <c r="D361" s="409">
        <f t="shared" si="7"/>
        <v>0</v>
      </c>
      <c r="E361" s="176">
        <f t="shared" si="8"/>
        <v>-0.0000000001419446146</v>
      </c>
      <c r="F361" s="408">
        <f t="shared" si="14"/>
        <v>16306617.46</v>
      </c>
      <c r="G361" s="408">
        <f t="shared" si="15"/>
        <v>30373143.87</v>
      </c>
      <c r="H361" s="410">
        <f t="shared" si="16"/>
        <v>0.0275</v>
      </c>
      <c r="I361" s="1">
        <f t="shared" si="1"/>
        <v>350</v>
      </c>
      <c r="J361" s="406">
        <f t="shared" si="17"/>
        <v>54820</v>
      </c>
      <c r="K361" s="105">
        <f t="shared" si="9"/>
        <v>30</v>
      </c>
      <c r="L361" s="411">
        <f t="shared" si="10"/>
        <v>0</v>
      </c>
      <c r="M361" s="407">
        <f t="shared" si="2"/>
        <v>0</v>
      </c>
      <c r="N361" s="407">
        <f t="shared" si="3"/>
        <v>0</v>
      </c>
      <c r="O361" s="407">
        <f t="shared" si="4"/>
        <v>-0.0000000001419446146</v>
      </c>
      <c r="P361" s="368" t="str">
        <f>IF(AND(K361&gt;K360,K361-2+1='Pro Forma Detail'!D$66),E358,)</f>
        <v/>
      </c>
      <c r="Q361" s="369" t="str">
        <f t="shared" si="11"/>
        <v/>
      </c>
      <c r="R361" s="370">
        <f t="shared" si="12"/>
        <v>0</v>
      </c>
      <c r="S361" s="370">
        <f t="shared" si="13"/>
        <v>0</v>
      </c>
      <c r="T361" s="1"/>
    </row>
    <row r="362" ht="12.75" customHeight="1">
      <c r="A362" s="1">
        <v>351.0</v>
      </c>
      <c r="B362" s="408">
        <f t="shared" si="5"/>
        <v>0</v>
      </c>
      <c r="C362" s="408">
        <f t="shared" si="6"/>
        <v>0</v>
      </c>
      <c r="D362" s="409">
        <f t="shared" si="7"/>
        <v>0</v>
      </c>
      <c r="E362" s="176">
        <f t="shared" si="8"/>
        <v>-0.0000000001278959192</v>
      </c>
      <c r="F362" s="408">
        <f t="shared" si="14"/>
        <v>16306617.46</v>
      </c>
      <c r="G362" s="408">
        <f t="shared" si="15"/>
        <v>30373143.87</v>
      </c>
      <c r="H362" s="410">
        <f t="shared" si="16"/>
        <v>0.0275</v>
      </c>
      <c r="I362" s="1">
        <f t="shared" si="1"/>
        <v>351</v>
      </c>
      <c r="J362" s="406">
        <f t="shared" si="17"/>
        <v>54848</v>
      </c>
      <c r="K362" s="105">
        <f t="shared" si="9"/>
        <v>30</v>
      </c>
      <c r="L362" s="411">
        <f t="shared" si="10"/>
        <v>0</v>
      </c>
      <c r="M362" s="407">
        <f t="shared" si="2"/>
        <v>0</v>
      </c>
      <c r="N362" s="407">
        <f t="shared" si="3"/>
        <v>0</v>
      </c>
      <c r="O362" s="407">
        <f t="shared" si="4"/>
        <v>-0.0000000001278959192</v>
      </c>
      <c r="P362" s="368" t="str">
        <f>IF(AND(K362&gt;K361,K362-2+1='Pro Forma Detail'!D$66),E359,)</f>
        <v/>
      </c>
      <c r="Q362" s="369" t="str">
        <f t="shared" si="11"/>
        <v/>
      </c>
      <c r="R362" s="370">
        <f t="shared" si="12"/>
        <v>0</v>
      </c>
      <c r="S362" s="370">
        <f t="shared" si="13"/>
        <v>0</v>
      </c>
      <c r="T362" s="1"/>
    </row>
    <row r="363" ht="12.75" customHeight="1">
      <c r="A363" s="1">
        <v>352.0</v>
      </c>
      <c r="B363" s="408">
        <f t="shared" si="5"/>
        <v>0</v>
      </c>
      <c r="C363" s="408">
        <f t="shared" si="6"/>
        <v>0</v>
      </c>
      <c r="D363" s="409">
        <f t="shared" si="7"/>
        <v>0</v>
      </c>
      <c r="E363" s="176">
        <f t="shared" si="8"/>
        <v>-0.0000000001138150289</v>
      </c>
      <c r="F363" s="408">
        <f t="shared" si="14"/>
        <v>16306617.46</v>
      </c>
      <c r="G363" s="408">
        <f t="shared" si="15"/>
        <v>30373143.87</v>
      </c>
      <c r="H363" s="410">
        <f t="shared" si="16"/>
        <v>0.0275</v>
      </c>
      <c r="I363" s="1">
        <f t="shared" si="1"/>
        <v>352</v>
      </c>
      <c r="J363" s="406">
        <f t="shared" si="17"/>
        <v>54879</v>
      </c>
      <c r="K363" s="105">
        <f t="shared" si="9"/>
        <v>30</v>
      </c>
      <c r="L363" s="411">
        <f t="shared" si="10"/>
        <v>0</v>
      </c>
      <c r="M363" s="407">
        <f t="shared" si="2"/>
        <v>0</v>
      </c>
      <c r="N363" s="407">
        <f t="shared" si="3"/>
        <v>0</v>
      </c>
      <c r="O363" s="407">
        <f t="shared" si="4"/>
        <v>-0.0000000001138150289</v>
      </c>
      <c r="P363" s="368" t="str">
        <f>IF(AND(K363&gt;K362,K363-2+1='Pro Forma Detail'!D$66),E360,)</f>
        <v/>
      </c>
      <c r="Q363" s="369" t="str">
        <f t="shared" si="11"/>
        <v/>
      </c>
      <c r="R363" s="370">
        <f t="shared" si="12"/>
        <v>0</v>
      </c>
      <c r="S363" s="370">
        <f t="shared" si="13"/>
        <v>0</v>
      </c>
      <c r="T363" s="1"/>
    </row>
    <row r="364" ht="12.75" customHeight="1">
      <c r="A364" s="1">
        <v>353.0</v>
      </c>
      <c r="B364" s="408">
        <f t="shared" si="5"/>
        <v>0</v>
      </c>
      <c r="C364" s="408">
        <f t="shared" si="6"/>
        <v>0</v>
      </c>
      <c r="D364" s="409">
        <f t="shared" si="7"/>
        <v>0</v>
      </c>
      <c r="E364" s="176">
        <f t="shared" si="8"/>
        <v>0</v>
      </c>
      <c r="F364" s="408">
        <f t="shared" si="14"/>
        <v>16306617.46</v>
      </c>
      <c r="G364" s="408">
        <f t="shared" si="15"/>
        <v>30373143.87</v>
      </c>
      <c r="H364" s="410">
        <f t="shared" si="16"/>
        <v>0.0275</v>
      </c>
      <c r="I364" s="1">
        <f t="shared" si="1"/>
        <v>353</v>
      </c>
      <c r="J364" s="406">
        <f t="shared" si="17"/>
        <v>54909</v>
      </c>
      <c r="K364" s="105">
        <f t="shared" si="9"/>
        <v>30</v>
      </c>
      <c r="L364" s="411">
        <f t="shared" si="10"/>
        <v>0</v>
      </c>
      <c r="M364" s="407">
        <f t="shared" si="2"/>
        <v>0</v>
      </c>
      <c r="N364" s="407">
        <f t="shared" si="3"/>
        <v>0</v>
      </c>
      <c r="O364" s="407">
        <f t="shared" si="4"/>
        <v>0</v>
      </c>
      <c r="P364" s="368" t="str">
        <f>IF(AND(K364&gt;K363,K364-2+1='Pro Forma Detail'!D$66),E361,)</f>
        <v/>
      </c>
      <c r="Q364" s="369" t="str">
        <f t="shared" si="11"/>
        <v/>
      </c>
      <c r="R364" s="370">
        <f t="shared" si="12"/>
        <v>0</v>
      </c>
      <c r="S364" s="370">
        <f t="shared" si="13"/>
        <v>0</v>
      </c>
      <c r="T364" s="1"/>
    </row>
    <row r="365" ht="12.75" customHeight="1">
      <c r="A365" s="1">
        <v>354.0</v>
      </c>
      <c r="B365" s="408">
        <f t="shared" si="5"/>
        <v>0</v>
      </c>
      <c r="C365" s="408">
        <f t="shared" si="6"/>
        <v>0</v>
      </c>
      <c r="D365" s="409">
        <f t="shared" si="7"/>
        <v>0</v>
      </c>
      <c r="E365" s="176">
        <f t="shared" si="8"/>
        <v>0</v>
      </c>
      <c r="F365" s="408">
        <f t="shared" si="14"/>
        <v>16306617.46</v>
      </c>
      <c r="G365" s="408">
        <f t="shared" si="15"/>
        <v>30373143.87</v>
      </c>
      <c r="H365" s="410">
        <f t="shared" si="16"/>
        <v>0.0275</v>
      </c>
      <c r="I365" s="1">
        <f t="shared" si="1"/>
        <v>354</v>
      </c>
      <c r="J365" s="406">
        <f t="shared" si="17"/>
        <v>54940</v>
      </c>
      <c r="K365" s="105">
        <f t="shared" si="9"/>
        <v>30</v>
      </c>
      <c r="L365" s="411">
        <f t="shared" si="10"/>
        <v>0</v>
      </c>
      <c r="M365" s="407">
        <f t="shared" si="2"/>
        <v>0</v>
      </c>
      <c r="N365" s="407">
        <f t="shared" si="3"/>
        <v>0</v>
      </c>
      <c r="O365" s="407">
        <f t="shared" si="4"/>
        <v>0</v>
      </c>
      <c r="P365" s="368" t="str">
        <f>IF(AND(K365&gt;K364,K365-2+1='Pro Forma Detail'!D$66),E362,)</f>
        <v/>
      </c>
      <c r="Q365" s="369" t="str">
        <f t="shared" si="11"/>
        <v/>
      </c>
      <c r="R365" s="370">
        <f t="shared" si="12"/>
        <v>0</v>
      </c>
      <c r="S365" s="370">
        <f t="shared" si="13"/>
        <v>0</v>
      </c>
      <c r="T365" s="1"/>
    </row>
    <row r="366" ht="12.75" customHeight="1">
      <c r="A366" s="1">
        <v>355.0</v>
      </c>
      <c r="B366" s="408">
        <f t="shared" si="5"/>
        <v>0</v>
      </c>
      <c r="C366" s="408">
        <f t="shared" si="6"/>
        <v>0</v>
      </c>
      <c r="D366" s="409">
        <f t="shared" si="7"/>
        <v>0</v>
      </c>
      <c r="E366" s="176">
        <f t="shared" si="8"/>
        <v>0</v>
      </c>
      <c r="F366" s="408">
        <f t="shared" si="14"/>
        <v>16306617.46</v>
      </c>
      <c r="G366" s="408">
        <f t="shared" si="15"/>
        <v>30373143.87</v>
      </c>
      <c r="H366" s="410">
        <f t="shared" si="16"/>
        <v>0.0275</v>
      </c>
      <c r="I366" s="1">
        <f t="shared" si="1"/>
        <v>355</v>
      </c>
      <c r="J366" s="406">
        <f t="shared" si="17"/>
        <v>54970</v>
      </c>
      <c r="K366" s="105">
        <f t="shared" si="9"/>
        <v>30</v>
      </c>
      <c r="L366" s="411">
        <f t="shared" si="10"/>
        <v>0</v>
      </c>
      <c r="M366" s="407">
        <f t="shared" si="2"/>
        <v>0</v>
      </c>
      <c r="N366" s="407">
        <f t="shared" si="3"/>
        <v>0</v>
      </c>
      <c r="O366" s="407">
        <f t="shared" si="4"/>
        <v>0</v>
      </c>
      <c r="P366" s="368" t="str">
        <f>IF(AND(K366&gt;K365,K366-2+1='Pro Forma Detail'!D$66),E363,)</f>
        <v/>
      </c>
      <c r="Q366" s="369" t="str">
        <f t="shared" si="11"/>
        <v/>
      </c>
      <c r="R366" s="370">
        <f t="shared" si="12"/>
        <v>0</v>
      </c>
      <c r="S366" s="370">
        <f t="shared" si="13"/>
        <v>0</v>
      </c>
      <c r="T366" s="1"/>
    </row>
    <row r="367" ht="12.75" customHeight="1">
      <c r="A367" s="1">
        <v>356.0</v>
      </c>
      <c r="B367" s="408">
        <f t="shared" si="5"/>
        <v>0</v>
      </c>
      <c r="C367" s="408">
        <f t="shared" si="6"/>
        <v>0</v>
      </c>
      <c r="D367" s="409">
        <f t="shared" si="7"/>
        <v>0</v>
      </c>
      <c r="E367" s="176">
        <f t="shared" si="8"/>
        <v>0</v>
      </c>
      <c r="F367" s="408">
        <f t="shared" si="14"/>
        <v>16306617.46</v>
      </c>
      <c r="G367" s="408">
        <f t="shared" si="15"/>
        <v>30373143.87</v>
      </c>
      <c r="H367" s="410">
        <f t="shared" si="16"/>
        <v>0.0275</v>
      </c>
      <c r="I367" s="1">
        <f t="shared" si="1"/>
        <v>356</v>
      </c>
      <c r="J367" s="406">
        <f t="shared" si="17"/>
        <v>55001</v>
      </c>
      <c r="K367" s="105">
        <f t="shared" si="9"/>
        <v>30</v>
      </c>
      <c r="L367" s="411">
        <f t="shared" si="10"/>
        <v>0</v>
      </c>
      <c r="M367" s="407">
        <f t="shared" si="2"/>
        <v>0</v>
      </c>
      <c r="N367" s="407">
        <f t="shared" si="3"/>
        <v>0</v>
      </c>
      <c r="O367" s="407">
        <f t="shared" si="4"/>
        <v>0</v>
      </c>
      <c r="P367" s="368" t="str">
        <f>IF(AND(K367&gt;K366,K367-2+1='Pro Forma Detail'!D$66),E364,)</f>
        <v/>
      </c>
      <c r="Q367" s="369" t="str">
        <f t="shared" si="11"/>
        <v/>
      </c>
      <c r="R367" s="370">
        <f t="shared" si="12"/>
        <v>0</v>
      </c>
      <c r="S367" s="370">
        <f t="shared" si="13"/>
        <v>0</v>
      </c>
      <c r="T367" s="1"/>
    </row>
    <row r="368" ht="12.75" customHeight="1">
      <c r="A368" s="1">
        <v>357.0</v>
      </c>
      <c r="B368" s="408">
        <f t="shared" si="5"/>
        <v>0</v>
      </c>
      <c r="C368" s="408">
        <f t="shared" si="6"/>
        <v>0</v>
      </c>
      <c r="D368" s="409">
        <f t="shared" si="7"/>
        <v>0</v>
      </c>
      <c r="E368" s="176">
        <f t="shared" si="8"/>
        <v>0</v>
      </c>
      <c r="F368" s="408">
        <f t="shared" si="14"/>
        <v>16306617.46</v>
      </c>
      <c r="G368" s="408">
        <f t="shared" si="15"/>
        <v>30373143.87</v>
      </c>
      <c r="H368" s="410">
        <f t="shared" si="16"/>
        <v>0.0275</v>
      </c>
      <c r="I368" s="1">
        <f t="shared" si="1"/>
        <v>357</v>
      </c>
      <c r="J368" s="406">
        <f t="shared" si="17"/>
        <v>55032</v>
      </c>
      <c r="K368" s="105">
        <f t="shared" si="9"/>
        <v>30</v>
      </c>
      <c r="L368" s="411">
        <f t="shared" si="10"/>
        <v>0</v>
      </c>
      <c r="M368" s="407">
        <f t="shared" si="2"/>
        <v>0</v>
      </c>
      <c r="N368" s="407">
        <f t="shared" si="3"/>
        <v>0</v>
      </c>
      <c r="O368" s="407">
        <f t="shared" si="4"/>
        <v>0</v>
      </c>
      <c r="P368" s="368" t="str">
        <f>IF(AND(K368&gt;K367,K368-2+1='Pro Forma Detail'!D$66),E365,)</f>
        <v/>
      </c>
      <c r="Q368" s="369" t="str">
        <f t="shared" si="11"/>
        <v/>
      </c>
      <c r="R368" s="370">
        <f t="shared" si="12"/>
        <v>0</v>
      </c>
      <c r="S368" s="370">
        <f t="shared" si="13"/>
        <v>0</v>
      </c>
      <c r="T368" s="1"/>
    </row>
    <row r="369" ht="12.75" customHeight="1">
      <c r="A369" s="1">
        <v>358.0</v>
      </c>
      <c r="B369" s="408">
        <f t="shared" si="5"/>
        <v>0</v>
      </c>
      <c r="C369" s="408">
        <f t="shared" si="6"/>
        <v>0</v>
      </c>
      <c r="D369" s="409">
        <f t="shared" si="7"/>
        <v>0</v>
      </c>
      <c r="E369" s="176">
        <f t="shared" si="8"/>
        <v>0</v>
      </c>
      <c r="F369" s="408">
        <f t="shared" si="14"/>
        <v>16306617.46</v>
      </c>
      <c r="G369" s="408">
        <f t="shared" si="15"/>
        <v>30373143.87</v>
      </c>
      <c r="H369" s="410">
        <f t="shared" si="16"/>
        <v>0.0275</v>
      </c>
      <c r="I369" s="1">
        <f t="shared" si="1"/>
        <v>358</v>
      </c>
      <c r="J369" s="406">
        <f t="shared" si="17"/>
        <v>55062</v>
      </c>
      <c r="K369" s="105">
        <f t="shared" si="9"/>
        <v>30</v>
      </c>
      <c r="L369" s="411">
        <f t="shared" si="10"/>
        <v>0</v>
      </c>
      <c r="M369" s="407">
        <f t="shared" si="2"/>
        <v>0</v>
      </c>
      <c r="N369" s="407">
        <f t="shared" si="3"/>
        <v>0</v>
      </c>
      <c r="O369" s="407">
        <f t="shared" si="4"/>
        <v>0</v>
      </c>
      <c r="P369" s="368" t="str">
        <f>IF(AND(K369&gt;K368,K369-2+1='Pro Forma Detail'!D$66),E366,)</f>
        <v/>
      </c>
      <c r="Q369" s="369" t="str">
        <f t="shared" si="11"/>
        <v/>
      </c>
      <c r="R369" s="370">
        <f t="shared" si="12"/>
        <v>0</v>
      </c>
      <c r="S369" s="370">
        <f t="shared" si="13"/>
        <v>0</v>
      </c>
      <c r="T369" s="1"/>
    </row>
    <row r="370" ht="12.75" customHeight="1">
      <c r="A370" s="1">
        <v>359.0</v>
      </c>
      <c r="B370" s="408">
        <f t="shared" si="5"/>
        <v>0</v>
      </c>
      <c r="C370" s="408">
        <f t="shared" si="6"/>
        <v>0</v>
      </c>
      <c r="D370" s="409">
        <f t="shared" si="7"/>
        <v>0</v>
      </c>
      <c r="E370" s="176">
        <f t="shared" si="8"/>
        <v>0</v>
      </c>
      <c r="F370" s="408">
        <f t="shared" si="14"/>
        <v>16306617.46</v>
      </c>
      <c r="G370" s="408">
        <f t="shared" si="15"/>
        <v>30373143.87</v>
      </c>
      <c r="H370" s="410">
        <f t="shared" si="16"/>
        <v>0.0275</v>
      </c>
      <c r="I370" s="1">
        <f t="shared" si="1"/>
        <v>359</v>
      </c>
      <c r="J370" s="406">
        <f t="shared" si="17"/>
        <v>55093</v>
      </c>
      <c r="K370" s="105">
        <f t="shared" si="9"/>
        <v>30</v>
      </c>
      <c r="L370" s="411">
        <f t="shared" si="10"/>
        <v>0</v>
      </c>
      <c r="M370" s="407">
        <f t="shared" si="2"/>
        <v>0</v>
      </c>
      <c r="N370" s="407">
        <f t="shared" si="3"/>
        <v>0</v>
      </c>
      <c r="O370" s="407">
        <f t="shared" si="4"/>
        <v>0</v>
      </c>
      <c r="P370" s="368" t="str">
        <f>IF(AND(K370&gt;K369,K370-2+1='Pro Forma Detail'!D$66),E367,)</f>
        <v/>
      </c>
      <c r="Q370" s="369" t="str">
        <f t="shared" si="11"/>
        <v/>
      </c>
      <c r="R370" s="370">
        <f t="shared" si="12"/>
        <v>0</v>
      </c>
      <c r="S370" s="370">
        <f t="shared" si="13"/>
        <v>0</v>
      </c>
      <c r="T370" s="1"/>
    </row>
    <row r="371" ht="12.75" customHeight="1">
      <c r="A371" s="1">
        <v>360.0</v>
      </c>
      <c r="B371" s="408">
        <f t="shared" si="5"/>
        <v>0</v>
      </c>
      <c r="C371" s="408">
        <f t="shared" si="6"/>
        <v>0</v>
      </c>
      <c r="D371" s="409">
        <f t="shared" si="7"/>
        <v>0</v>
      </c>
      <c r="E371" s="176">
        <f t="shared" si="8"/>
        <v>0</v>
      </c>
      <c r="F371" s="408">
        <f t="shared" si="14"/>
        <v>16306617.46</v>
      </c>
      <c r="G371" s="408">
        <f t="shared" si="15"/>
        <v>30373143.87</v>
      </c>
      <c r="H371" s="410">
        <f t="shared" si="16"/>
        <v>0.0275</v>
      </c>
      <c r="I371" s="1">
        <f t="shared" si="1"/>
        <v>360</v>
      </c>
      <c r="J371" s="406">
        <f t="shared" si="17"/>
        <v>55123</v>
      </c>
      <c r="K371" s="105">
        <f t="shared" si="9"/>
        <v>30</v>
      </c>
      <c r="L371" s="411">
        <f t="shared" si="10"/>
        <v>0</v>
      </c>
      <c r="M371" s="407">
        <f t="shared" si="2"/>
        <v>0</v>
      </c>
      <c r="N371" s="407">
        <f t="shared" si="3"/>
        <v>0</v>
      </c>
      <c r="O371" s="407">
        <f t="shared" si="4"/>
        <v>0</v>
      </c>
      <c r="P371" s="368" t="str">
        <f>IF(AND(K371&gt;K370,K371-2+1='Pro Forma Detail'!D$66),E368,)</f>
        <v/>
      </c>
      <c r="Q371" s="369" t="str">
        <f t="shared" si="11"/>
        <v/>
      </c>
      <c r="R371" s="370">
        <f t="shared" si="12"/>
        <v>0</v>
      </c>
      <c r="S371" s="370">
        <f t="shared" si="13"/>
        <v>0</v>
      </c>
      <c r="T371" s="1"/>
    </row>
    <row r="372" ht="12.75" customHeight="1">
      <c r="A372" s="1"/>
      <c r="B372" s="1"/>
      <c r="C372" s="1"/>
      <c r="D372" s="1"/>
      <c r="E372" s="1"/>
      <c r="F372" s="1"/>
      <c r="G372" s="1"/>
      <c r="H372" s="1"/>
      <c r="I372" s="1"/>
      <c r="J372" s="1"/>
      <c r="K372" s="1"/>
      <c r="L372" s="1"/>
      <c r="M372" s="1"/>
      <c r="N372" s="1"/>
      <c r="O372" s="1"/>
      <c r="P372" s="1"/>
      <c r="Q372" s="1"/>
      <c r="R372" s="1"/>
      <c r="S372" s="1"/>
      <c r="T372" s="1"/>
    </row>
    <row r="373" ht="12.75" customHeight="1">
      <c r="A373" s="1"/>
      <c r="B373" s="1"/>
      <c r="C373" s="1"/>
      <c r="D373" s="1"/>
      <c r="E373" s="1"/>
      <c r="F373" s="1"/>
      <c r="G373" s="1"/>
      <c r="H373" s="1"/>
      <c r="I373" s="1"/>
      <c r="J373" s="1"/>
      <c r="K373" s="1"/>
      <c r="L373" s="1"/>
      <c r="M373" s="1"/>
      <c r="N373" s="1"/>
      <c r="O373" s="1"/>
      <c r="P373" s="1"/>
      <c r="Q373" s="1"/>
      <c r="R373" s="1"/>
      <c r="S373" s="1"/>
      <c r="T373" s="1"/>
    </row>
    <row r="374" ht="12.75" customHeight="1">
      <c r="A374" s="1"/>
      <c r="B374" s="1"/>
      <c r="C374" s="1"/>
      <c r="D374" s="1"/>
      <c r="E374" s="1"/>
      <c r="F374" s="1"/>
      <c r="G374" s="1"/>
      <c r="H374" s="1"/>
      <c r="I374" s="1"/>
      <c r="J374" s="1"/>
      <c r="K374" s="1"/>
      <c r="L374" s="1"/>
      <c r="M374" s="1"/>
      <c r="N374" s="1"/>
      <c r="O374" s="1"/>
      <c r="P374" s="1"/>
      <c r="Q374" s="1"/>
      <c r="R374" s="1"/>
      <c r="S374" s="1"/>
      <c r="T374" s="1"/>
    </row>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C3:D3"/>
    <mergeCell ref="G3:H3"/>
    <mergeCell ref="C4:D4"/>
    <mergeCell ref="G4:H4"/>
    <mergeCell ref="C5:D5"/>
  </mergeCells>
  <dataValidations>
    <dataValidation type="list" allowBlank="1" showErrorMessage="1" sqref="H7">
      <formula1>"0.0,1.0,2.0,3.0,4.0,5.0,6.0,7.0,8.0,9.0,10.0"</formula1>
    </dataValidation>
  </dataValidations>
  <printOptions/>
  <pageMargins bottom="0.75" footer="0.0" header="0.0" left="0.7" right="0.7" top="0.75"/>
  <pageSetup orientation="landscape"/>
  <drawing r:id="rId1"/>
</worksheet>
</file>